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od\Documents\"/>
    </mc:Choice>
  </mc:AlternateContent>
  <workbookProtection workbookAlgorithmName="SHA-512" workbookHashValue="ZL6hHk6pBWXKt6vU+kj21aCt501gh8LsvE1U7GhQ+jQVP+xhT5aUkW2V9SS21BmOelctpoDD7YbSExVYG9c0mQ==" workbookSaltValue="GjiohvCbwcVu39Sp3afrvw==" workbookSpinCount="100000" lockStructure="1"/>
  <bookViews>
    <workbookView xWindow="0" yWindow="0" windowWidth="20490" windowHeight="7530" activeTab="2" xr2:uid="{00000000-000D-0000-FFFF-FFFF00000000}"/>
  </bookViews>
  <sheets>
    <sheet name="G U I D E" sheetId="5" r:id="rId1"/>
    <sheet name="PRODUCT DATA" sheetId="1" r:id="rId2"/>
    <sheet name="APPLICATION DATA - standard" sheetId="2" r:id="rId3"/>
    <sheet name="PROGRAM ANALYSIS - standard" sheetId="3" r:id="rId4"/>
    <sheet name="APPLICATION DATA - metric" sheetId="8" state="hidden" r:id="rId5"/>
    <sheet name="PROGRAMME ANALYSIS - metric" sheetId="9" state="hidden" r:id="rId6"/>
    <sheet name="APPLICATION DATA - metric NZ" sheetId="10" state="hidden" r:id="rId7"/>
  </sheets>
  <definedNames>
    <definedName name="acre.a">'APPLICATION DATA - standard'!$E$12</definedName>
    <definedName name="acre.b">'APPLICATION DATA - standard'!$G$11</definedName>
    <definedName name="all.b">'PROGRAM ANALYSIS - standard'!$E$20</definedName>
    <definedName name="all.ca">'PROGRAM ANALYSIS - standard'!$K$13</definedName>
    <definedName name="all.co">'PROGRAM ANALYSIS - standard'!$H$20</definedName>
    <definedName name="all.cu">'PROGRAM ANALYSIS - standard'!$J$13</definedName>
    <definedName name="all.fe">'PROGRAM ANALYSIS - standard'!$G$13</definedName>
    <definedName name="all.fe.mn">'PROGRAM ANALYSIS - standard'!$K$20</definedName>
    <definedName name="all.hpo3">'PROGRAM ANALYSIS - standard'!$I$20</definedName>
    <definedName name="all.k">'PROGRAM ANALYSIS - standard'!$F$13</definedName>
    <definedName name="all.mg">'PROGRAM ANALYSIS - standard'!$L$13</definedName>
    <definedName name="all.mn">'PROGRAM ANALYSIS - standard'!$H$13</definedName>
    <definedName name="all.mo">'PROGRAM ANALYSIS - standard'!$G$20</definedName>
    <definedName name="all.n">'PROGRAM ANALYSIS - standard'!$D$13</definedName>
    <definedName name="all.p">'PROGRAM ANALYSIS - standard'!$E$13</definedName>
    <definedName name="all.p.hpo3">'PROGRAM ANALYSIS - standard'!$J$20</definedName>
    <definedName name="all.s">'PROGRAM ANALYSIS - standard'!$D$20</definedName>
    <definedName name="all.si">'PROGRAM ANALYSIS - standard'!$F$20</definedName>
    <definedName name="all.x1">'PROGRAM ANALYSIS - standard'!$L$20</definedName>
    <definedName name="all.zn">'PROGRAM ANALYSIS - standard'!$I$13</definedName>
    <definedName name="cost.106">'PRODUCT DATA'!$D$13</definedName>
    <definedName name="cost.1200">'PRODUCT DATA'!$D$54</definedName>
    <definedName name="cost.1220">'PRODUCT DATA'!$D$52</definedName>
    <definedName name="cost.1240">'PRODUCT DATA'!$D$56</definedName>
    <definedName name="cost.1270">'PRODUCT DATA'!$D$53</definedName>
    <definedName name="cost.1320">'PRODUCT DATA'!$D$67</definedName>
    <definedName name="cost.1340">'PRODUCT DATA'!$D$55</definedName>
    <definedName name="cost.1360">'PRODUCT DATA'!$D$68</definedName>
    <definedName name="cost.1370">'PRODUCT DATA'!$D$69</definedName>
    <definedName name="cost.141">'PRODUCT DATA'!$D$15</definedName>
    <definedName name="cost.177">'PRODUCT DATA'!$D$33</definedName>
    <definedName name="cost.178">'PRODUCT DATA'!$D$25</definedName>
    <definedName name="cost.180">'PRODUCT DATA'!$D$28</definedName>
    <definedName name="cost.185">'PRODUCT DATA'!$D$29</definedName>
    <definedName name="cost.192">'PRODUCT DATA'!$D$19</definedName>
    <definedName name="cost.195">'PRODUCT DATA'!$D$30</definedName>
    <definedName name="cost.196">'PRODUCT DATA'!$D$20</definedName>
    <definedName name="cost.200">'PRODUCT DATA'!$D$7</definedName>
    <definedName name="cost.2000">'PRODUCT DATA'!$D$71</definedName>
    <definedName name="cost.2020">'PRODUCT DATA'!$D$70</definedName>
    <definedName name="cost.215">'PRODUCT DATA'!$D$5</definedName>
    <definedName name="cost.225">'PRODUCT DATA'!$D$18</definedName>
    <definedName name="cost.240">'PRODUCT DATA'!$D$31</definedName>
    <definedName name="cost.245">'PRODUCT DATA'!$D$17</definedName>
    <definedName name="cost.255">'PRODUCT DATA'!$D$3</definedName>
    <definedName name="cost.285">'PRODUCT DATA'!$D$10</definedName>
    <definedName name="cost.300">'PRODUCT DATA'!$D$32</definedName>
    <definedName name="cost.310">'PRODUCT DATA'!$D$14</definedName>
    <definedName name="cost.315">'PRODUCT DATA'!$D$12</definedName>
    <definedName name="cost.330">'PRODUCT DATA'!$D$21</definedName>
    <definedName name="cost.360">'PRODUCT DATA'!$D$16</definedName>
    <definedName name="cost.600">'PRODUCT DATA'!$D$46</definedName>
    <definedName name="cost.650">'PRODUCT DATA'!$D$40</definedName>
    <definedName name="cost.675">'PRODUCT DATA'!$D$22</definedName>
    <definedName name="cost.730">'PRODUCT DATA'!$D$23</definedName>
    <definedName name="cost.800">'PRODUCT DATA'!$D$46</definedName>
    <definedName name="cost.840">'PRODUCT DATA'!$D$36</definedName>
    <definedName name="cost.855">'PRODUCT DATA'!$D$24</definedName>
    <definedName name="cost.860">'PRODUCT DATA'!$D$35</definedName>
    <definedName name="cost.865">'PRODUCT DATA'!$D$37</definedName>
    <definedName name="cost.x1">'PRODUCT DATA'!$D$48</definedName>
    <definedName name="cost.x2">'PRODUCT DATA'!$D$49</definedName>
    <definedName name="cost.x3">'PRODUCT DATA'!$D$50</definedName>
    <definedName name="cost.z1">'PRODUCT DATA'!$D$73</definedName>
    <definedName name="cost.z2">'PRODUCT DATA'!$D$74</definedName>
    <definedName name="cost.z3">'PRODUCT DATA'!$D$75</definedName>
    <definedName name="cost1240">'PRODUCT DATA'!$D$56</definedName>
    <definedName name="customer">'APPLICATION DATA - standard'!$C$3</definedName>
    <definedName name="customer2" localSheetId="6">'APPLICATION DATA - metric NZ'!$C$3</definedName>
    <definedName name="customer2">'APPLICATION DATA - metric'!$C$3</definedName>
    <definedName name="customer3">'APPLICATION DATA - metric NZ'!$C$3</definedName>
    <definedName name="end.date">'APPLICATION DATA - standard'!$N$3</definedName>
    <definedName name="end.date2" localSheetId="6">'APPLICATION DATA - metric NZ'!$N$3</definedName>
    <definedName name="end.date2">'APPLICATION DATA - metric'!$N$3</definedName>
    <definedName name="end.date3">'APPLICATION DATA - metric NZ'!$N$3</definedName>
    <definedName name="global.discount">'PRODUCT DATA'!$E$1</definedName>
    <definedName name="granular.prog.adjustcost">'PROGRAM ANALYSIS - standard'!$M$71,'PROGRAM ANALYSIS - standard'!$M$73,'PROGRAM ANALYSIS - standard'!$M$75,'PROGRAM ANALYSIS - standard'!$M$77</definedName>
    <definedName name="granular.prog.subcost">'PROGRAM ANALYSIS - standard'!$K$71,'PROGRAM ANALYSIS - standard'!$K$73,'PROGRAM ANALYSIS - standard'!$K$75,'PROGRAM ANALYSIS - standard'!$K$77</definedName>
    <definedName name="granular.proge.adjustcost">'PROGRAMME ANALYSIS - metric'!$M$67,'PROGRAMME ANALYSIS - metric'!$M$69,'PROGRAMME ANALYSIS - metric'!$M$71,'PROGRAMME ANALYSIS - metric'!$M$73</definedName>
    <definedName name="granular.proge.subcost">'PROGRAMME ANALYSIS - metric'!$K$67,'PROGRAMME ANALYSIS - metric'!$K$69,'PROGRAMME ANALYSIS - metric'!$K$71,'PROGRAMME ANALYSIS - metric'!$K$73</definedName>
    <definedName name="GreenSpec_List2">'APPLICATION DATA - standard'!$V$129:$V$142</definedName>
    <definedName name="hectare.a" localSheetId="6">'APPLICATION DATA - metric NZ'!$E$12</definedName>
    <definedName name="hectare.a">'APPLICATION DATA - metric'!$E$12</definedName>
    <definedName name="hectare.b" localSheetId="6">'APPLICATION DATA - metric NZ'!$G$11</definedName>
    <definedName name="hectare.b">'APPLICATION DATA - metric'!$G$11</definedName>
    <definedName name="hectarez.a">'APPLICATION DATA - metric NZ'!$E$12</definedName>
    <definedName name="hectarez.b">'APPLICATION DATA - metric NZ'!$G$11</definedName>
    <definedName name="id.106">'PRODUCT DATA'!$C$13</definedName>
    <definedName name="id.1200">'PRODUCT DATA'!$C$54</definedName>
    <definedName name="id.1220">'PRODUCT DATA'!$C$52</definedName>
    <definedName name="id.1240">'PRODUCT DATA'!$C$56</definedName>
    <definedName name="id.1270">'PRODUCT DATA'!$C$53</definedName>
    <definedName name="id.1320">'PRODUCT DATA'!$C$67</definedName>
    <definedName name="id.1340">'PRODUCT DATA'!$C$55</definedName>
    <definedName name="id.1360">'PRODUCT DATA'!$C$68</definedName>
    <definedName name="id.1370">'PRODUCT DATA'!$C$69</definedName>
    <definedName name="id.141">'PRODUCT DATA'!$C$15</definedName>
    <definedName name="id.177">'PRODUCT DATA'!$C$33</definedName>
    <definedName name="id.178">'PRODUCT DATA'!$C$25</definedName>
    <definedName name="id.18">'PRODUCT DATA'!$C$25</definedName>
    <definedName name="id.180">'PRODUCT DATA'!$C$28</definedName>
    <definedName name="id.185">'PRODUCT DATA'!$C$29</definedName>
    <definedName name="id.192">'PRODUCT DATA'!$C$19</definedName>
    <definedName name="id.195">'PRODUCT DATA'!$C$30</definedName>
    <definedName name="id.196">'PRODUCT DATA'!$C$20</definedName>
    <definedName name="id.200">'PRODUCT DATA'!$C$7</definedName>
    <definedName name="id.2000">'PRODUCT DATA'!$C$71</definedName>
    <definedName name="id.201">'PRODUCT DATA'!$C$8</definedName>
    <definedName name="id.2020">'PRODUCT DATA'!$C$70</definedName>
    <definedName name="id.2030">'PRODUCT DATA'!$C$66</definedName>
    <definedName name="id.210">'PRODUCT DATA'!$C$12</definedName>
    <definedName name="id.215">'PRODUCT DATA'!$C$5</definedName>
    <definedName name="id.216">'PRODUCT DATA'!$C$6</definedName>
    <definedName name="id.225">'PRODUCT DATA'!$C$18</definedName>
    <definedName name="id.240">'PRODUCT DATA'!$C$31</definedName>
    <definedName name="id.242">'PRODUCT DATA'!$C$26</definedName>
    <definedName name="id.245">'PRODUCT DATA'!$C$17</definedName>
    <definedName name="id.255">'PRODUCT DATA'!$C$3</definedName>
    <definedName name="id.256">'PRODUCT DATA'!$C$4</definedName>
    <definedName name="id.285">'PRODUCT DATA'!$C$10</definedName>
    <definedName name="id.300">'PRODUCT DATA'!$C$32</definedName>
    <definedName name="id.310">'PRODUCT DATA'!$C$14</definedName>
    <definedName name="id.315">'PRODUCT DATA'!$C$12</definedName>
    <definedName name="id.330">'PRODUCT DATA'!$C$21</definedName>
    <definedName name="id.360">'PRODUCT DATA'!$C$16</definedName>
    <definedName name="id.600">'PRODUCT DATA'!$C$41</definedName>
    <definedName name="id.610">'PRODUCT DATA'!$C$42</definedName>
    <definedName name="id.620">'PRODUCT DATA'!$C$44</definedName>
    <definedName name="id.630">'PRODUCT DATA'!$C$43</definedName>
    <definedName name="id.650">'PRODUCT DATA'!$C$40</definedName>
    <definedName name="id.675">'PRODUCT DATA'!$C$22</definedName>
    <definedName name="id.730">'PRODUCT DATA'!$C$23</definedName>
    <definedName name="id.800">'PRODUCT DATA'!$C$38</definedName>
    <definedName name="id.840">'PRODUCT DATA'!$C$36</definedName>
    <definedName name="id.855">'PRODUCT DATA'!$C$24</definedName>
    <definedName name="id.860">'PRODUCT DATA'!$C$35</definedName>
    <definedName name="id.865">'PRODUCT DATA'!$C$37</definedName>
    <definedName name="id.x1">'PRODUCT DATA'!$C$48</definedName>
    <definedName name="id.x2">'PRODUCT DATA'!$C$49</definedName>
    <definedName name="id.x3">'PRODUCT DATA'!$C$50</definedName>
    <definedName name="id.z1">'PRODUCT DATA'!$C$73</definedName>
    <definedName name="id.z2">'PRODUCT DATA'!$C$74</definedName>
    <definedName name="id.z3">'PRODUCT DATA'!$C$75</definedName>
    <definedName name="K.215">'PRODUCT DATA'!$O$5</definedName>
    <definedName name="lbs.215">'PRODUCT DATA'!$F$5</definedName>
    <definedName name="lbs.255">'PRODUCT DATA'!$F$3</definedName>
    <definedName name="liquid.prog.adjustcost">'PROGRAM ANALYSIS - standard'!$M$36,'PROGRAM ANALYSIS - standard'!$M$46,'PROGRAM ANALYSIS - standard'!$M$56,'PROGRAM ANALYSIS - standard'!$M$66</definedName>
    <definedName name="liquid.prog.subcost">'PROGRAM ANALYSIS - standard'!$K$36,'PROGRAM ANALYSIS - standard'!$K$46,'PROGRAM ANALYSIS - standard'!$K$56,'PROGRAM ANALYSIS - standard'!$K$66</definedName>
    <definedName name="liquid.proge.adjustcost">'PROGRAMME ANALYSIS - metric'!$M$32,'PROGRAMME ANALYSIS - metric'!$M$42,'PROGRAMME ANALYSIS - metric'!$M$52,'PROGRAMME ANALYSIS - metric'!$M$62</definedName>
    <definedName name="liquid.proge.subcost">'PROGRAMME ANALYSIS - metric'!$K$32,'PROGRAMME ANALYSIS - metric'!$K$42,'PROGRAMME ANALYSIS - metric'!$K$52,'PROGRAMME ANALYSIS - metric'!$K$62</definedName>
    <definedName name="m1.1">'APPLICATION DATA - standard'!$C$24</definedName>
    <definedName name="m1.10">'APPLICATION DATA - standard'!$C$33</definedName>
    <definedName name="m1.2">'APPLICATION DATA - standard'!$C$25</definedName>
    <definedName name="m1.3">'APPLICATION DATA - standard'!$C$26</definedName>
    <definedName name="m1.4">'APPLICATION DATA - standard'!$C$27</definedName>
    <definedName name="m1.5">'APPLICATION DATA - standard'!$C$28</definedName>
    <definedName name="m1.6">'APPLICATION DATA - standard'!$C$29</definedName>
    <definedName name="m1.7">'APPLICATION DATA - standard'!$C$30</definedName>
    <definedName name="m1.8">'APPLICATION DATA - standard'!$C$31</definedName>
    <definedName name="m1.9">'APPLICATION DATA - standard'!$C$32</definedName>
    <definedName name="m1r.1">'APPLICATION DATA - standard'!$F$24</definedName>
    <definedName name="m1r.10">'APPLICATION DATA - standard'!$F$33</definedName>
    <definedName name="m1r.2">'APPLICATION DATA - standard'!$F$25</definedName>
    <definedName name="m1r.3">'APPLICATION DATA - standard'!$F$26</definedName>
    <definedName name="m1r.4">'APPLICATION DATA - standard'!$F$27</definedName>
    <definedName name="m1r.5">'APPLICATION DATA - standard'!$F$28</definedName>
    <definedName name="m1r.6">'APPLICATION DATA - standard'!$F$29</definedName>
    <definedName name="m1r.7">'APPLICATION DATA - standard'!$F$30</definedName>
    <definedName name="m1r.8">'APPLICATION DATA - standard'!$F$31</definedName>
    <definedName name="m1r.9">'APPLICATION DATA - standard'!$F$32</definedName>
    <definedName name="m2.1">'APPLICATION DATA - standard'!$C$41</definedName>
    <definedName name="m2.2">'APPLICATION DATA - standard'!$C$42</definedName>
    <definedName name="m2.3">'APPLICATION DATA - standard'!$C$43</definedName>
    <definedName name="m2.4">'APPLICATION DATA - standard'!$C$44</definedName>
    <definedName name="m2.5">'APPLICATION DATA - standard'!$C$45</definedName>
    <definedName name="m2.6">'APPLICATION DATA - standard'!$C$46</definedName>
    <definedName name="m2r.1">'APPLICATION DATA - standard'!$F$41</definedName>
    <definedName name="m2r.2">'APPLICATION DATA - standard'!$F$42</definedName>
    <definedName name="m2r.3">'APPLICATION DATA - standard'!$F$43</definedName>
    <definedName name="m2r.4">'APPLICATION DATA - standard'!$F$44</definedName>
    <definedName name="m2r.5">'APPLICATION DATA - standard'!$F$45</definedName>
    <definedName name="m2r.6">'APPLICATION DATA - standard'!$F$46</definedName>
    <definedName name="m3.1">'APPLICATION DATA - standard'!$C$54</definedName>
    <definedName name="m3.2">'APPLICATION DATA - standard'!$C$55</definedName>
    <definedName name="m3.3">'APPLICATION DATA - standard'!$C$56</definedName>
    <definedName name="m3.4">'APPLICATION DATA - standard'!$C$57</definedName>
    <definedName name="m3.5">'APPLICATION DATA - standard'!$C$58</definedName>
    <definedName name="m3.6">'APPLICATION DATA - standard'!$C$59</definedName>
    <definedName name="m3r.1">'APPLICATION DATA - standard'!$F$54</definedName>
    <definedName name="m3r.2">'APPLICATION DATA - standard'!$F$55</definedName>
    <definedName name="m3r.3">'APPLICATION DATA - standard'!$F$56</definedName>
    <definedName name="m3r.4">'APPLICATION DATA - standard'!$F$57</definedName>
    <definedName name="m3r.5">'APPLICATION DATA - standard'!$F$58</definedName>
    <definedName name="m3r.6">'APPLICATION DATA - standard'!$F$59</definedName>
    <definedName name="m4.1">'APPLICATION DATA - standard'!$C$66</definedName>
    <definedName name="m4.2">'APPLICATION DATA - standard'!$C$67</definedName>
    <definedName name="m4.3">'APPLICATION DATA - standard'!$C$68</definedName>
    <definedName name="m4.4">'APPLICATION DATA - standard'!$C$69</definedName>
    <definedName name="m4.5">'APPLICATION DATA - standard'!$C$70</definedName>
    <definedName name="m4.6">'APPLICATION DATA - standard'!$C$71</definedName>
    <definedName name="m4r.1">'APPLICATION DATA - standard'!$F$66</definedName>
    <definedName name="m4r.2">'APPLICATION DATA - standard'!$F$67</definedName>
    <definedName name="m4r.3">'APPLICATION DATA - standard'!$F$68</definedName>
    <definedName name="m4r.4">'APPLICATION DATA - standard'!$F$69</definedName>
    <definedName name="m4r.5">'APPLICATION DATA - standard'!$F$70</definedName>
    <definedName name="m4r.6">'APPLICATION DATA - standard'!$F$71</definedName>
    <definedName name="mall.b">'PROGRAMME ANALYSIS - metric'!$E$20</definedName>
    <definedName name="mall.ca">'PROGRAMME ANALYSIS - metric'!$K$13</definedName>
    <definedName name="mall.co">'PROGRAMME ANALYSIS - metric'!$H$20</definedName>
    <definedName name="mall.cu">'PROGRAMME ANALYSIS - metric'!$J$13</definedName>
    <definedName name="mall.fe">'PROGRAMME ANALYSIS - metric'!$G$13</definedName>
    <definedName name="mall.hpo3">'PROGRAMME ANALYSIS - metric'!$I$20</definedName>
    <definedName name="mall.k">'PROGRAMME ANALYSIS - metric'!$F$13</definedName>
    <definedName name="mall.mg">'PROGRAMME ANALYSIS - metric'!$L$13</definedName>
    <definedName name="mall.mn">'PROGRAMME ANALYSIS - metric'!$H$13</definedName>
    <definedName name="mall.mo">'PROGRAMME ANALYSIS - metric'!$G$20</definedName>
    <definedName name="mall.n">'PROGRAMME ANALYSIS - metric'!$D$13</definedName>
    <definedName name="mall.p">'PROGRAMME ANALYSIS - metric'!$E$13</definedName>
    <definedName name="mall.s">'PROGRAMME ANALYSIS - metric'!$D$20</definedName>
    <definedName name="mall.si">'PROGRAMME ANALYSIS - metric'!$F$20</definedName>
    <definedName name="mall.zn">'PROGRAMME ANALYSIS - metric'!$I$13</definedName>
    <definedName name="mix1.b">'APPLICATION DATA - standard'!$Q$34</definedName>
    <definedName name="mix1.ca">'APPLICATION DATA - standard'!$J$34</definedName>
    <definedName name="mix1.co">'APPLICATION DATA - standard'!$T$34</definedName>
    <definedName name="mix1.count">'APPLICATION DATA - standard'!$M$12</definedName>
    <definedName name="mix1.cu">'APPLICATION DATA - standard'!$P$34</definedName>
    <definedName name="mix1.fe">'APPLICATION DATA - standard'!$M$34</definedName>
    <definedName name="mix1.k">'APPLICATION DATA - standard'!$I$34</definedName>
    <definedName name="mix1.mg">'APPLICATION DATA - standard'!$K$34</definedName>
    <definedName name="mix1.mn">'APPLICATION DATA - standard'!$N$34</definedName>
    <definedName name="mix1.mo">'APPLICATION DATA - standard'!$S$34</definedName>
    <definedName name="mix1.n">'APPLICATION DATA - standard'!$G$34</definedName>
    <definedName name="mix1.p">'APPLICATION DATA - standard'!$H$34</definedName>
    <definedName name="mix1.s">'APPLICATION DATA - standard'!$L$34</definedName>
    <definedName name="mix1.si">'APPLICATION DATA - standard'!$R$34</definedName>
    <definedName name="mix1.zn">'APPLICATION DATA - standard'!$O$34</definedName>
    <definedName name="mix1hpo3">'APPLICATION DATA - standard'!$U$34</definedName>
    <definedName name="mix2.b">'APPLICATION DATA - standard'!$Q$47</definedName>
    <definedName name="mix2.ca">'APPLICATION DATA - standard'!$J$47</definedName>
    <definedName name="mix2.co">'APPLICATION DATA - standard'!$T$47</definedName>
    <definedName name="mix2.count">'APPLICATION DATA - standard'!$M$13</definedName>
    <definedName name="mix2.cu">'APPLICATION DATA - standard'!$P$47</definedName>
    <definedName name="mix2.fe">'APPLICATION DATA - standard'!$M$47</definedName>
    <definedName name="mix2.k">'APPLICATION DATA - standard'!$I$47</definedName>
    <definedName name="mix2.mg">'APPLICATION DATA - standard'!$K$47</definedName>
    <definedName name="mix2.mn">'APPLICATION DATA - standard'!$N$47</definedName>
    <definedName name="mix2.mo">'APPLICATION DATA - standard'!$S$47</definedName>
    <definedName name="mix2.n">'APPLICATION DATA - standard'!$G$47</definedName>
    <definedName name="mix2.p">'APPLICATION DATA - standard'!$H$47</definedName>
    <definedName name="mix2.s">'APPLICATION DATA - standard'!$L$47</definedName>
    <definedName name="mix2.si">'APPLICATION DATA - standard'!$R$47</definedName>
    <definedName name="mix2.zn">'APPLICATION DATA - standard'!$O$47</definedName>
    <definedName name="mix2hpo3">'APPLICATION DATA - standard'!$U$47</definedName>
    <definedName name="mix3.b">'APPLICATION DATA - standard'!$Q$60</definedName>
    <definedName name="mix3.ca">'APPLICATION DATA - standard'!$J$60</definedName>
    <definedName name="mix3.co">'APPLICATION DATA - standard'!$T$60</definedName>
    <definedName name="mix3.count">'APPLICATION DATA - standard'!$M$14</definedName>
    <definedName name="mix3.cu">'APPLICATION DATA - standard'!$P$60</definedName>
    <definedName name="mix3.fe">'APPLICATION DATA - standard'!$M$60</definedName>
    <definedName name="mix3.k">'APPLICATION DATA - standard'!$I$60</definedName>
    <definedName name="mix3.mg">'APPLICATION DATA - standard'!$K$60</definedName>
    <definedName name="mix3.mn">'APPLICATION DATA - standard'!$N$60</definedName>
    <definedName name="mix3.mo">'APPLICATION DATA - standard'!$S$60</definedName>
    <definedName name="mix3.n">'APPLICATION DATA - standard'!$G$60</definedName>
    <definedName name="mix3.p">'APPLICATION DATA - standard'!$H$60</definedName>
    <definedName name="mix3.s">'APPLICATION DATA - standard'!$L$60</definedName>
    <definedName name="mix3.si">'APPLICATION DATA - standard'!$R$60</definedName>
    <definedName name="mix3.zn">'APPLICATION DATA - standard'!$O$60</definedName>
    <definedName name="mix3hpo3">'APPLICATION DATA - standard'!$U$60</definedName>
    <definedName name="mix4.b">'APPLICATION DATA - standard'!$Q$72</definedName>
    <definedName name="mix4.ca">'APPLICATION DATA - standard'!$J$72</definedName>
    <definedName name="mix4.co">'APPLICATION DATA - standard'!$T$72</definedName>
    <definedName name="mix4.count">'APPLICATION DATA - standard'!$M$15</definedName>
    <definedName name="mix4.cu">'APPLICATION DATA - standard'!$P$72</definedName>
    <definedName name="mix4.fe">'APPLICATION DATA - standard'!$M$72</definedName>
    <definedName name="mix4.k">'APPLICATION DATA - standard'!$I$72</definedName>
    <definedName name="mix4.mg">'APPLICATION DATA - standard'!$K$72</definedName>
    <definedName name="mix4.mn">'APPLICATION DATA - standard'!$N$72</definedName>
    <definedName name="mix4.mo">'APPLICATION DATA - standard'!$S$72</definedName>
    <definedName name="mix4.n">'APPLICATION DATA - standard'!$G$72</definedName>
    <definedName name="mix4.p">'APPLICATION DATA - standard'!$H$72</definedName>
    <definedName name="mix4.s">'APPLICATION DATA - standard'!$L$72</definedName>
    <definedName name="mix4.si">'APPLICATION DATA - standard'!$R$72</definedName>
    <definedName name="mix4.zn">'APPLICATION DATA - standard'!$O$72</definedName>
    <definedName name="mix4hpo3">'APPLICATION DATA - standard'!$U$72</definedName>
    <definedName name="mixt.b">'APPLICATION DATA - standard'!$Q$35,'APPLICATION DATA - standard'!$Q$48,'APPLICATION DATA - standard'!$Q$61,'APPLICATION DATA - standard'!$Q$73</definedName>
    <definedName name="mixt.ca">'APPLICATION DATA - standard'!$J$35,'APPLICATION DATA - standard'!$J$48,'APPLICATION DATA - standard'!$J$61,'APPLICATION DATA - standard'!$J$73</definedName>
    <definedName name="mixt.co">'APPLICATION DATA - standard'!$T$73,'APPLICATION DATA - standard'!$T$61,'APPLICATION DATA - standard'!$T$48,'APPLICATION DATA - standard'!$T$35</definedName>
    <definedName name="mixt.count">'PROGRAM ANALYSIS - standard'!$K$4</definedName>
    <definedName name="mixt.cu">'APPLICATION DATA - standard'!$P$73,'APPLICATION DATA - standard'!$P$61,'APPLICATION DATA - standard'!$P$48,'APPLICATION DATA - standard'!$P$35</definedName>
    <definedName name="mixt.fe">'APPLICATION DATA - standard'!$M$35,'APPLICATION DATA - standard'!$M$48,'APPLICATION DATA - standard'!$M$61,'APPLICATION DATA - standard'!$M$73</definedName>
    <definedName name="mixt.hpo3">'APPLICATION DATA - standard'!$U$35,'APPLICATION DATA - standard'!$U$48,'APPLICATION DATA - standard'!$U$61,'APPLICATION DATA - standard'!$U$73</definedName>
    <definedName name="mixt.k">'APPLICATION DATA - standard'!$I$35,'APPLICATION DATA - standard'!$I$48,'APPLICATION DATA - standard'!$I$61,'APPLICATION DATA - standard'!$I$73</definedName>
    <definedName name="mixt.mg">'APPLICATION DATA - standard'!$K$35,'APPLICATION DATA - standard'!$K$48,'APPLICATION DATA - standard'!$K$61,'APPLICATION DATA - standard'!$K$73</definedName>
    <definedName name="mixt.mn">'APPLICATION DATA - standard'!$N$73,'APPLICATION DATA - standard'!$N$61,'APPLICATION DATA - standard'!$N$48,'APPLICATION DATA - standard'!$N$35</definedName>
    <definedName name="mixt.mo">'APPLICATION DATA - standard'!$S$35,'APPLICATION DATA - standard'!$S$48,'APPLICATION DATA - standard'!$S$61,'APPLICATION DATA - standard'!$S$73</definedName>
    <definedName name="mixt.n">'APPLICATION DATA - standard'!$G$35,'APPLICATION DATA - standard'!$G$48,'APPLICATION DATA - standard'!$G$61,'APPLICATION DATA - standard'!$G$73</definedName>
    <definedName name="mixt.p">'APPLICATION DATA - standard'!$H$35,'APPLICATION DATA - standard'!$H$48,'APPLICATION DATA - standard'!$H$61,'APPLICATION DATA - standard'!$H$73</definedName>
    <definedName name="mixt.s">'APPLICATION DATA - standard'!$L$73,'APPLICATION DATA - standard'!$L$61,'APPLICATION DATA - standard'!$L$48,'APPLICATION DATA - standard'!$L$35</definedName>
    <definedName name="mixt.si">'APPLICATION DATA - standard'!$R$73,'APPLICATION DATA - standard'!$R$61,'APPLICATION DATA - standard'!$R$48,'APPLICATION DATA - standard'!$R$35</definedName>
    <definedName name="mixt.zn">'APPLICATION DATA - standard'!$O$35,'APPLICATION DATA - standard'!$O$48,'APPLICATION DATA - standard'!$O$61,'APPLICATION DATA - standard'!$O$73</definedName>
    <definedName name="mm1.1" localSheetId="6">'APPLICATION DATA - metric NZ'!$C$24</definedName>
    <definedName name="mm1.1">'APPLICATION DATA - metric'!$C$24</definedName>
    <definedName name="mm1.2" localSheetId="6">'APPLICATION DATA - metric NZ'!$C$25</definedName>
    <definedName name="mm1.2">'APPLICATION DATA - metric'!$C$25</definedName>
    <definedName name="mm1.3" localSheetId="6">'APPLICATION DATA - metric NZ'!$C$26</definedName>
    <definedName name="mm1.3">'APPLICATION DATA - metric'!$C$26</definedName>
    <definedName name="mm1.4" localSheetId="6">'APPLICATION DATA - metric NZ'!$C$27</definedName>
    <definedName name="mm1.4">'APPLICATION DATA - metric'!$C$27</definedName>
    <definedName name="mm1.5" localSheetId="6">'APPLICATION DATA - metric NZ'!$C$30</definedName>
    <definedName name="mm1.5">'APPLICATION DATA - metric'!$C$28</definedName>
    <definedName name="mm1.6" localSheetId="6">'APPLICATION DATA - metric NZ'!$C$31</definedName>
    <definedName name="mm1.6">'APPLICATION DATA - metric'!$C$29</definedName>
    <definedName name="mm1r.1" localSheetId="6">'APPLICATION DATA - metric NZ'!$F$24</definedName>
    <definedName name="mm1r.1">'APPLICATION DATA - metric'!$F$24</definedName>
    <definedName name="mm1r.2" localSheetId="6">'APPLICATION DATA - metric NZ'!$F$25</definedName>
    <definedName name="mm1r.2">'APPLICATION DATA - metric'!$F$25</definedName>
    <definedName name="mm1r.3" localSheetId="6">'APPLICATION DATA - metric NZ'!$F$26</definedName>
    <definedName name="mm1r.3">'APPLICATION DATA - metric'!$F$26</definedName>
    <definedName name="mm1r.4" localSheetId="6">'APPLICATION DATA - metric NZ'!$F$27</definedName>
    <definedName name="mm1r.4">'APPLICATION DATA - metric'!$F$27</definedName>
    <definedName name="mm1r.5" localSheetId="6">'APPLICATION DATA - metric NZ'!$F$30</definedName>
    <definedName name="mm1r.5">'APPLICATION DATA - metric'!$F$28</definedName>
    <definedName name="mm1r.6" localSheetId="6">'APPLICATION DATA - metric NZ'!$F$31</definedName>
    <definedName name="mm1r.6">'APPLICATION DATA - metric'!$F$29</definedName>
    <definedName name="mm2.1" localSheetId="6">'APPLICATION DATA - metric NZ'!$C$39</definedName>
    <definedName name="mm2.1">'APPLICATION DATA - metric'!$C$37</definedName>
    <definedName name="mm2.2" localSheetId="6">'APPLICATION DATA - metric NZ'!$C$40</definedName>
    <definedName name="mm2.2">'APPLICATION DATA - metric'!$C$38</definedName>
    <definedName name="mm2.3" localSheetId="6">'APPLICATION DATA - metric NZ'!$C$41</definedName>
    <definedName name="mm2.3">'APPLICATION DATA - metric'!$C$39</definedName>
    <definedName name="mm2.4" localSheetId="6">'APPLICATION DATA - metric NZ'!$C$42</definedName>
    <definedName name="mm2.4">'APPLICATION DATA - metric'!$C$40</definedName>
    <definedName name="mm2.5" localSheetId="6">'APPLICATION DATA - metric NZ'!$C$43</definedName>
    <definedName name="mm2.5">'APPLICATION DATA - metric'!$C$41</definedName>
    <definedName name="mm2.6" localSheetId="6">'APPLICATION DATA - metric NZ'!$C$44</definedName>
    <definedName name="mm2.6">'APPLICATION DATA - metric'!$C$42</definedName>
    <definedName name="mm2r.1" localSheetId="6">'APPLICATION DATA - metric NZ'!$F$39</definedName>
    <definedName name="mm2r.1">'APPLICATION DATA - metric'!$F$37</definedName>
    <definedName name="mm2r.2" localSheetId="6">'APPLICATION DATA - metric NZ'!$F$40</definedName>
    <definedName name="mm2r.2">'APPLICATION DATA - metric'!$F$38</definedName>
    <definedName name="mm2r.3" localSheetId="6">'APPLICATION DATA - metric NZ'!$F$41</definedName>
    <definedName name="mm2r.3">'APPLICATION DATA - metric'!$F$39</definedName>
    <definedName name="mm2r.4" localSheetId="6">'APPLICATION DATA - metric NZ'!$F$42</definedName>
    <definedName name="mm2r.4">'APPLICATION DATA - metric'!$F$40</definedName>
    <definedName name="mm2r.5" localSheetId="6">'APPLICATION DATA - metric NZ'!$F$43</definedName>
    <definedName name="mm2r.5">'APPLICATION DATA - metric'!$F$41</definedName>
    <definedName name="mm2r.6" localSheetId="6">'APPLICATION DATA - metric NZ'!$F$44</definedName>
    <definedName name="mm2r.6">'APPLICATION DATA - metric'!$F$42</definedName>
    <definedName name="mm3.1" localSheetId="6">'APPLICATION DATA - metric NZ'!$C$52</definedName>
    <definedName name="mm3.1">'APPLICATION DATA - metric'!$C$50</definedName>
    <definedName name="mm3.2" localSheetId="6">'APPLICATION DATA - metric NZ'!$C$53</definedName>
    <definedName name="mm3.2">'APPLICATION DATA - metric'!$C$51</definedName>
    <definedName name="mm3.3" localSheetId="6">'APPLICATION DATA - metric NZ'!$C$54</definedName>
    <definedName name="mm3.3">'APPLICATION DATA - metric'!$C$52</definedName>
    <definedName name="mm3.4" localSheetId="6">'APPLICATION DATA - metric NZ'!$C$55</definedName>
    <definedName name="mm3.4">'APPLICATION DATA - metric'!$C$53</definedName>
    <definedName name="mm3.5" localSheetId="6">'APPLICATION DATA - metric NZ'!$C$56</definedName>
    <definedName name="mm3.5">'APPLICATION DATA - metric'!$C$54</definedName>
    <definedName name="mm3.6" localSheetId="6">'APPLICATION DATA - metric NZ'!$C$57</definedName>
    <definedName name="mm3.6">'APPLICATION DATA - metric'!$C$55</definedName>
    <definedName name="mm3r.1" localSheetId="6">'APPLICATION DATA - metric NZ'!$F$52</definedName>
    <definedName name="mm3r.1">'APPLICATION DATA - metric'!$F$50</definedName>
    <definedName name="mm3r.2" localSheetId="6">'APPLICATION DATA - metric NZ'!$F$53</definedName>
    <definedName name="mm3r.2">'APPLICATION DATA - metric'!$F$51</definedName>
    <definedName name="mm3r.3" localSheetId="6">'APPLICATION DATA - metric NZ'!$F$54</definedName>
    <definedName name="mm3r.3">'APPLICATION DATA - metric'!$F$52</definedName>
    <definedName name="mm3r.4" localSheetId="6">'APPLICATION DATA - metric NZ'!$F$55</definedName>
    <definedName name="mm3r.4">'APPLICATION DATA - metric'!$F$53</definedName>
    <definedName name="mm3r.5" localSheetId="6">'APPLICATION DATA - metric NZ'!$F$56</definedName>
    <definedName name="mm3r.5">'APPLICATION DATA - metric'!$F$54</definedName>
    <definedName name="mm3r.6" localSheetId="6">'APPLICATION DATA - metric NZ'!$F$57</definedName>
    <definedName name="mm3r.6">'APPLICATION DATA - metric'!$F$55</definedName>
    <definedName name="mm4.1" localSheetId="6">'APPLICATION DATA - metric NZ'!$C$64</definedName>
    <definedName name="mm4.1">'APPLICATION DATA - metric'!$C$62</definedName>
    <definedName name="mm4.2" localSheetId="6">'APPLICATION DATA - metric NZ'!$C$65</definedName>
    <definedName name="mm4.2">'APPLICATION DATA - metric'!$C$63</definedName>
    <definedName name="mm4.3" localSheetId="6">'APPLICATION DATA - metric NZ'!$C$66</definedName>
    <definedName name="mm4.3">'APPLICATION DATA - metric'!$C$64</definedName>
    <definedName name="mm4.4" localSheetId="6">'APPLICATION DATA - metric NZ'!$C$67</definedName>
    <definedName name="mm4.4">'APPLICATION DATA - metric'!$C$65</definedName>
    <definedName name="mm4.5" localSheetId="6">'APPLICATION DATA - metric NZ'!$C$68</definedName>
    <definedName name="mm4.5">'APPLICATION DATA - metric'!$C$66</definedName>
    <definedName name="mm4.6" localSheetId="6">'APPLICATION DATA - metric NZ'!$C$69</definedName>
    <definedName name="mm4.6">'APPLICATION DATA - metric'!$C$67</definedName>
    <definedName name="mm4r.1" localSheetId="6">'APPLICATION DATA - metric NZ'!$F$64</definedName>
    <definedName name="mm4r.1">'APPLICATION DATA - metric'!$F$62</definedName>
    <definedName name="mm4r.2" localSheetId="6">'APPLICATION DATA - metric NZ'!$F$65</definedName>
    <definedName name="mm4r.2">'APPLICATION DATA - metric'!$F$63</definedName>
    <definedName name="mm4r.3" localSheetId="6">'APPLICATION DATA - metric NZ'!$F$66</definedName>
    <definedName name="mm4r.3">'APPLICATION DATA - metric'!$F$64</definedName>
    <definedName name="mm4r.4" localSheetId="6">'APPLICATION DATA - metric NZ'!$F$67</definedName>
    <definedName name="mm4r.4">'APPLICATION DATA - metric'!$F$65</definedName>
    <definedName name="mm4r.5" localSheetId="6">'APPLICATION DATA - metric NZ'!$F$68</definedName>
    <definedName name="mm4r.5">'APPLICATION DATA - metric'!$F$66</definedName>
    <definedName name="mm4r.6" localSheetId="6">'APPLICATION DATA - metric NZ'!$F$69</definedName>
    <definedName name="mm4r.6">'APPLICATION DATA - metric'!$F$67</definedName>
    <definedName name="mmix1.b" localSheetId="6">'APPLICATION DATA - metric NZ'!$Q$32</definedName>
    <definedName name="mmix1.b">'APPLICATION DATA - metric'!$Q$30</definedName>
    <definedName name="mmix1.ca" localSheetId="6">'APPLICATION DATA - metric NZ'!$J$32</definedName>
    <definedName name="mmix1.ca">'APPLICATION DATA - metric'!$J$30</definedName>
    <definedName name="mmix1.co" localSheetId="6">'APPLICATION DATA - metric NZ'!$T$32</definedName>
    <definedName name="mmix1.co">'APPLICATION DATA - metric'!$T$30</definedName>
    <definedName name="mmix1.count" localSheetId="6">'APPLICATION DATA - metric NZ'!$M$12</definedName>
    <definedName name="mmix1.count">'APPLICATION DATA - metric'!$M$12</definedName>
    <definedName name="mmix1.cu" localSheetId="6">'APPLICATION DATA - metric NZ'!$P$32</definedName>
    <definedName name="mmix1.cu">'APPLICATION DATA - metric'!$P$30</definedName>
    <definedName name="mmix1.fe" localSheetId="6">'APPLICATION DATA - metric NZ'!$M$32</definedName>
    <definedName name="mmix1.fe">'APPLICATION DATA - metric'!$M$30</definedName>
    <definedName name="mmix1.hpo3" localSheetId="6">'APPLICATION DATA - metric NZ'!$U$32</definedName>
    <definedName name="mmix1.hpo3">'APPLICATION DATA - metric'!$U$30</definedName>
    <definedName name="mmix1.k" localSheetId="6">'APPLICATION DATA - metric NZ'!$I$32</definedName>
    <definedName name="mmix1.k">'APPLICATION DATA - metric'!$I$30</definedName>
    <definedName name="mmix1.mg" localSheetId="6">'APPLICATION DATA - metric NZ'!$K$32</definedName>
    <definedName name="mmix1.mg">'APPLICATION DATA - metric'!$K$30</definedName>
    <definedName name="mmix1.mn" localSheetId="6">'APPLICATION DATA - metric NZ'!$N$32</definedName>
    <definedName name="mmix1.mn">'APPLICATION DATA - metric'!$N$30</definedName>
    <definedName name="mmix1.mo" localSheetId="6">'APPLICATION DATA - metric NZ'!$S$32</definedName>
    <definedName name="mmix1.mo">'APPLICATION DATA - metric'!$S$30</definedName>
    <definedName name="mmix1.n" localSheetId="6">'APPLICATION DATA - metric NZ'!$G$32</definedName>
    <definedName name="mmix1.n">'APPLICATION DATA - metric'!$G$30</definedName>
    <definedName name="mmix1.p" localSheetId="6">'APPLICATION DATA - metric NZ'!$H$32</definedName>
    <definedName name="mmix1.p">'APPLICATION DATA - metric'!$H$30</definedName>
    <definedName name="mmix1.s" localSheetId="6">'APPLICATION DATA - metric NZ'!$L$32</definedName>
    <definedName name="mmix1.s">'APPLICATION DATA - metric'!$L$30</definedName>
    <definedName name="mmix1.si" localSheetId="6">'APPLICATION DATA - metric NZ'!$R$32</definedName>
    <definedName name="mmix1.si">'APPLICATION DATA - metric'!$R$30</definedName>
    <definedName name="mmix1.zn" localSheetId="6">'APPLICATION DATA - metric NZ'!$O$32</definedName>
    <definedName name="mmix1.zn">'APPLICATION DATA - metric'!$O$30</definedName>
    <definedName name="mmix2.b" localSheetId="6">'APPLICATION DATA - metric NZ'!$Q$45</definedName>
    <definedName name="mmix2.b">'APPLICATION DATA - metric'!$Q$43</definedName>
    <definedName name="mmix2.ca" localSheetId="6">'APPLICATION DATA - metric NZ'!$J$45</definedName>
    <definedName name="mmix2.ca">'APPLICATION DATA - metric'!$J$43</definedName>
    <definedName name="mmix2.co" localSheetId="6">'APPLICATION DATA - metric NZ'!$T$45</definedName>
    <definedName name="mmix2.co">'APPLICATION DATA - metric'!$T$43</definedName>
    <definedName name="mmix2.count" localSheetId="6">'APPLICATION DATA - metric NZ'!$M$13</definedName>
    <definedName name="mmix2.count">'APPLICATION DATA - metric'!$M$13</definedName>
    <definedName name="mmix2.cu" localSheetId="6">'APPLICATION DATA - metric NZ'!$P$45</definedName>
    <definedName name="mmix2.cu">'APPLICATION DATA - metric'!$P$43</definedName>
    <definedName name="mmix2.fe" localSheetId="6">'APPLICATION DATA - metric NZ'!$M$45</definedName>
    <definedName name="mmix2.fe">'APPLICATION DATA - metric'!$M$43</definedName>
    <definedName name="mmix2.k" localSheetId="6">'APPLICATION DATA - metric NZ'!$I$45</definedName>
    <definedName name="mmix2.k">'APPLICATION DATA - metric'!$I$43</definedName>
    <definedName name="mmix2.mg" localSheetId="6">'APPLICATION DATA - metric NZ'!$K$45</definedName>
    <definedName name="mmix2.mg">'APPLICATION DATA - metric'!$K$43</definedName>
    <definedName name="mmix2.mn" localSheetId="6">'APPLICATION DATA - metric NZ'!$N$45</definedName>
    <definedName name="mmix2.mn">'APPLICATION DATA - metric'!$N$43</definedName>
    <definedName name="mmix2.mo" localSheetId="6">'APPLICATION DATA - metric NZ'!$S$45</definedName>
    <definedName name="mmix2.mo">'APPLICATION DATA - metric'!$S$43</definedName>
    <definedName name="mmix2.n" localSheetId="6">'APPLICATION DATA - metric NZ'!$G$45</definedName>
    <definedName name="mmix2.n">'APPLICATION DATA - metric'!$G$43</definedName>
    <definedName name="mmix2.p" localSheetId="6">'APPLICATION DATA - metric NZ'!$H$45</definedName>
    <definedName name="mmix2.p">'APPLICATION DATA - metric'!$H$43</definedName>
    <definedName name="mmix2.s" localSheetId="6">'APPLICATION DATA - metric NZ'!$L$45</definedName>
    <definedName name="mmix2.s">'APPLICATION DATA - metric'!$L$43</definedName>
    <definedName name="mmix2.si" localSheetId="6">'APPLICATION DATA - metric NZ'!$R$45</definedName>
    <definedName name="mmix2.si">'APPLICATION DATA - metric'!$R$43</definedName>
    <definedName name="mmix2.zn" localSheetId="6">'APPLICATION DATA - metric NZ'!$O$45</definedName>
    <definedName name="mmix2.zn">'APPLICATION DATA - metric'!$O$43</definedName>
    <definedName name="mmix2hpo3" localSheetId="6">'APPLICATION DATA - metric NZ'!$U$45</definedName>
    <definedName name="mmix2hpo3">'APPLICATION DATA - metric'!$U$43</definedName>
    <definedName name="mmix3.b" localSheetId="6">'APPLICATION DATA - metric NZ'!$Q$58</definedName>
    <definedName name="mmix3.b">'APPLICATION DATA - metric'!$Q$56</definedName>
    <definedName name="mmix3.ca" localSheetId="6">'APPLICATION DATA - metric NZ'!$J$58</definedName>
    <definedName name="mmix3.ca">'APPLICATION DATA - metric'!$J$56</definedName>
    <definedName name="mmix3.co" localSheetId="6">'APPLICATION DATA - metric NZ'!$T$58</definedName>
    <definedName name="mmix3.co">'APPLICATION DATA - metric'!$T$56</definedName>
    <definedName name="mmix3.count" localSheetId="6">'APPLICATION DATA - metric NZ'!$M$14</definedName>
    <definedName name="mmix3.count">'APPLICATION DATA - metric'!$M$14</definedName>
    <definedName name="mmix3.cu" localSheetId="6">'APPLICATION DATA - metric NZ'!$P$58</definedName>
    <definedName name="mmix3.cu">'APPLICATION DATA - metric'!$P$56</definedName>
    <definedName name="mmix3.fe" localSheetId="6">'APPLICATION DATA - metric NZ'!$M$58</definedName>
    <definedName name="mmix3.fe">'APPLICATION DATA - metric'!$M$56</definedName>
    <definedName name="mmix3.k" localSheetId="6">'APPLICATION DATA - metric NZ'!$I$58</definedName>
    <definedName name="mmix3.k">'APPLICATION DATA - metric'!$I$56</definedName>
    <definedName name="mmix3.mg" localSheetId="6">'APPLICATION DATA - metric NZ'!$K$58</definedName>
    <definedName name="mmix3.mg">'APPLICATION DATA - metric'!$K$56</definedName>
    <definedName name="mmix3.mn" localSheetId="6">'APPLICATION DATA - metric NZ'!$N$58</definedName>
    <definedName name="mmix3.mn">'APPLICATION DATA - metric'!$N$56</definedName>
    <definedName name="mmix3.mo" localSheetId="6">'APPLICATION DATA - metric NZ'!$S$58</definedName>
    <definedName name="mmix3.mo">'APPLICATION DATA - metric'!$S$56</definedName>
    <definedName name="mmix3.n" localSheetId="6">'APPLICATION DATA - metric NZ'!$G$58</definedName>
    <definedName name="mmix3.n">'APPLICATION DATA - metric'!$G$56</definedName>
    <definedName name="mmix3.p" localSheetId="6">'APPLICATION DATA - metric NZ'!$H$58</definedName>
    <definedName name="mmix3.p">'APPLICATION DATA - metric'!$H$56</definedName>
    <definedName name="mmix3.s" localSheetId="6">'APPLICATION DATA - metric NZ'!$L$58</definedName>
    <definedName name="mmix3.s">'APPLICATION DATA - metric'!$L$56</definedName>
    <definedName name="mmix3.si" localSheetId="6">'APPLICATION DATA - metric NZ'!$R$58</definedName>
    <definedName name="mmix3.si">'APPLICATION DATA - metric'!$R$56</definedName>
    <definedName name="mmix3.zn" localSheetId="6">'APPLICATION DATA - metric NZ'!$O$58</definedName>
    <definedName name="mmix3.zn">'APPLICATION DATA - metric'!$O$56</definedName>
    <definedName name="mmix3hpo3" localSheetId="6">'APPLICATION DATA - metric NZ'!$U$58</definedName>
    <definedName name="mmix3hpo3">'APPLICATION DATA - metric'!$U$56</definedName>
    <definedName name="mmix4.b" localSheetId="6">'APPLICATION DATA - metric NZ'!$Q$70</definedName>
    <definedName name="mmix4.b">'APPLICATION DATA - metric'!$Q$68</definedName>
    <definedName name="mmix4.ca" localSheetId="6">'APPLICATION DATA - metric NZ'!$J$70</definedName>
    <definedName name="mmix4.ca">'APPLICATION DATA - metric'!$J$68</definedName>
    <definedName name="mmix4.co" localSheetId="6">'APPLICATION DATA - metric NZ'!$T$70</definedName>
    <definedName name="mmix4.co">'APPLICATION DATA - metric'!$T$68</definedName>
    <definedName name="mmix4.count" localSheetId="6">'APPLICATION DATA - metric NZ'!$M$15</definedName>
    <definedName name="mmix4.count">'APPLICATION DATA - metric'!$M$15</definedName>
    <definedName name="mmix4.cu" localSheetId="6">'APPLICATION DATA - metric NZ'!$P$70</definedName>
    <definedName name="mmix4.cu">'APPLICATION DATA - metric'!$P$68</definedName>
    <definedName name="mmix4.fe" localSheetId="6">'APPLICATION DATA - metric NZ'!$M$70</definedName>
    <definedName name="mmix4.fe">'APPLICATION DATA - metric'!$M$68</definedName>
    <definedName name="mmix4.k" localSheetId="6">'APPLICATION DATA - metric NZ'!$I$70</definedName>
    <definedName name="mmix4.k">'APPLICATION DATA - metric'!$I$68</definedName>
    <definedName name="mmix4.mg" localSheetId="6">'APPLICATION DATA - metric NZ'!$K$70</definedName>
    <definedName name="mmix4.mg">'APPLICATION DATA - metric'!$K$68</definedName>
    <definedName name="mmix4.mn" localSheetId="6">'APPLICATION DATA - metric NZ'!$N$70</definedName>
    <definedName name="mmix4.mn">'APPLICATION DATA - metric'!$N$68</definedName>
    <definedName name="mmix4.mo" localSheetId="6">'APPLICATION DATA - metric NZ'!$S$70</definedName>
    <definedName name="mmix4.mo">'APPLICATION DATA - metric'!$S$68</definedName>
    <definedName name="mmix4.n" localSheetId="6">'APPLICATION DATA - metric NZ'!$G$70</definedName>
    <definedName name="mmix4.n">'APPLICATION DATA - metric'!$G$68</definedName>
    <definedName name="mmix4.p" localSheetId="6">'APPLICATION DATA - metric NZ'!$H$70</definedName>
    <definedName name="mmix4.p">'APPLICATION DATA - metric'!$H$68</definedName>
    <definedName name="mmix4.s" localSheetId="6">'APPLICATION DATA - metric NZ'!$L$70</definedName>
    <definedName name="mmix4.s">'APPLICATION DATA - metric'!$L$68</definedName>
    <definedName name="mmix4.si" localSheetId="6">'APPLICATION DATA - metric NZ'!$R$70</definedName>
    <definedName name="mmix4.si">'APPLICATION DATA - metric'!$R$68</definedName>
    <definedName name="mmix4.zn" localSheetId="6">'APPLICATION DATA - metric NZ'!$O$70</definedName>
    <definedName name="mmix4.zn">'APPLICATION DATA - metric'!$O$68</definedName>
    <definedName name="mmix4hpo3" localSheetId="6">'APPLICATION DATA - metric NZ'!$U$70</definedName>
    <definedName name="mmix4hpo3">'APPLICATION DATA - metric'!$U$68</definedName>
    <definedName name="mmixt.b" localSheetId="6">'APPLICATION DATA - metric NZ'!$Q$33,'APPLICATION DATA - metric NZ'!$Q$46,'APPLICATION DATA - metric NZ'!$Q$59,'APPLICATION DATA - metric NZ'!$Q$71</definedName>
    <definedName name="mmixt.b">'APPLICATION DATA - metric'!$Q$31,'APPLICATION DATA - metric'!$Q$44,'APPLICATION DATA - metric'!$Q$57,'APPLICATION DATA - metric'!$Q$69</definedName>
    <definedName name="mmixt.ca" localSheetId="6">'APPLICATION DATA - metric NZ'!$J$71,'APPLICATION DATA - metric NZ'!$J$59,'APPLICATION DATA - metric NZ'!$J$46,'APPLICATION DATA - metric NZ'!$J$33</definedName>
    <definedName name="mmixt.ca">'APPLICATION DATA - metric'!$J$69,'APPLICATION DATA - metric'!$J$57,'APPLICATION DATA - metric'!$J$44,'APPLICATION DATA - metric'!$J$31</definedName>
    <definedName name="mmixt.co" localSheetId="6">'APPLICATION DATA - metric NZ'!$T$46,'APPLICATION DATA - metric NZ'!$T$59,'APPLICATION DATA - metric NZ'!$T$71,'APPLICATION DATA - metric NZ'!$T$33</definedName>
    <definedName name="mmixt.co">'APPLICATION DATA - metric'!$T$44,'APPLICATION DATA - metric'!$T$57,'APPLICATION DATA - metric'!$T$69,'APPLICATION DATA - metric'!$T$31</definedName>
    <definedName name="mmixt.count">'PROGRAMME ANALYSIS - metric'!$K$4</definedName>
    <definedName name="mmixt.cu" localSheetId="6">'APPLICATION DATA - metric NZ'!$P$33,'APPLICATION DATA - metric NZ'!$P$46,'APPLICATION DATA - metric NZ'!$P$59,'APPLICATION DATA - metric NZ'!$P$71</definedName>
    <definedName name="mmixt.cu">'APPLICATION DATA - metric'!$P$31,'APPLICATION DATA - metric'!$P$44,'APPLICATION DATA - metric'!$P$57,'APPLICATION DATA - metric'!$P$69</definedName>
    <definedName name="mmixt.fe" localSheetId="6">'APPLICATION DATA - metric NZ'!$M$33,'APPLICATION DATA - metric NZ'!$M$46,'APPLICATION DATA - metric NZ'!$M$59,'APPLICATION DATA - metric NZ'!$M$71</definedName>
    <definedName name="mmixt.fe">'APPLICATION DATA - metric'!$M$31,'APPLICATION DATA - metric'!$M$44,'APPLICATION DATA - metric'!$M$57,'APPLICATION DATA - metric'!$M$69</definedName>
    <definedName name="mmixt.hpo3" localSheetId="6">'APPLICATION DATA - metric NZ'!$U$33,'APPLICATION DATA - metric NZ'!$U$46,'APPLICATION DATA - metric NZ'!$U$59,'APPLICATION DATA - metric NZ'!$U$71</definedName>
    <definedName name="mmixt.hpo3">'APPLICATION DATA - metric'!$U$31,'APPLICATION DATA - metric'!$U$44,'APPLICATION DATA - metric'!$U$57,'APPLICATION DATA - metric'!$U$69</definedName>
    <definedName name="mmixt.k" localSheetId="6">'APPLICATION DATA - metric NZ'!$I$33,'APPLICATION DATA - metric NZ'!$I$46,'APPLICATION DATA - metric NZ'!$I$59,'APPLICATION DATA - metric NZ'!$I$71</definedName>
    <definedName name="mmixt.k">'APPLICATION DATA - metric'!$I$31,'APPLICATION DATA - metric'!$I$44,'APPLICATION DATA - metric'!$I$57,'APPLICATION DATA - metric'!$I$69</definedName>
    <definedName name="mmixt.mg" localSheetId="6">'APPLICATION DATA - metric NZ'!$K$33,'APPLICATION DATA - metric NZ'!$K$46,'APPLICATION DATA - metric NZ'!$K$59,'APPLICATION DATA - metric NZ'!$K$71</definedName>
    <definedName name="mmixt.mg">'APPLICATION DATA - metric'!$K$31,'APPLICATION DATA - metric'!$K$44,'APPLICATION DATA - metric'!$K$57,'APPLICATION DATA - metric'!$K$69</definedName>
    <definedName name="mmixt.mn" localSheetId="6">'APPLICATION DATA - metric NZ'!$N$71,'APPLICATION DATA - metric NZ'!$N$59,'APPLICATION DATA - metric NZ'!$N$46,'APPLICATION DATA - metric NZ'!$N$33</definedName>
    <definedName name="mmixt.mn">'APPLICATION DATA - metric'!$N$69,'APPLICATION DATA - metric'!$N$57,'APPLICATION DATA - metric'!$N$44,'APPLICATION DATA - metric'!$N$31</definedName>
    <definedName name="mmixt.mo" localSheetId="6">'APPLICATION DATA - metric NZ'!$S$33,'APPLICATION DATA - metric NZ'!$S$46,'APPLICATION DATA - metric NZ'!$S$59,'APPLICATION DATA - metric NZ'!$S$71</definedName>
    <definedName name="mmixt.mo">'APPLICATION DATA - metric'!$S$31,'APPLICATION DATA - metric'!$S$44,'APPLICATION DATA - metric'!$S$57,'APPLICATION DATA - metric'!$S$69</definedName>
    <definedName name="mmixt.n" localSheetId="6">'APPLICATION DATA - metric NZ'!$G$33,'APPLICATION DATA - metric NZ'!$G$46,'APPLICATION DATA - metric NZ'!$G$59,'APPLICATION DATA - metric NZ'!$G$71</definedName>
    <definedName name="mmixt.n">'APPLICATION DATA - metric'!$G$31,'APPLICATION DATA - metric'!$G$44,'APPLICATION DATA - metric'!$G$57,'APPLICATION DATA - metric'!$G$69</definedName>
    <definedName name="mmixt.p" localSheetId="6">'APPLICATION DATA - metric NZ'!$H$33,'APPLICATION DATA - metric NZ'!$H$46,'APPLICATION DATA - metric NZ'!$H$59,'APPLICATION DATA - metric NZ'!$H$71</definedName>
    <definedName name="mmixt.p">'APPLICATION DATA - metric'!$H$31,'APPLICATION DATA - metric'!$H$44,'APPLICATION DATA - metric'!$H$57,'APPLICATION DATA - metric'!$H$69</definedName>
    <definedName name="mmixt.s" localSheetId="6">'APPLICATION DATA - metric NZ'!$L$33,'APPLICATION DATA - metric NZ'!$L$46,'APPLICATION DATA - metric NZ'!$L$59,'APPLICATION DATA - metric NZ'!$L$71</definedName>
    <definedName name="mmixt.s">'APPLICATION DATA - metric'!$L$31,'APPLICATION DATA - metric'!$L$44,'APPLICATION DATA - metric'!$L$57,'APPLICATION DATA - metric'!$L$69</definedName>
    <definedName name="mmixt.si" localSheetId="6">'APPLICATION DATA - metric NZ'!$R$33,'APPLICATION DATA - metric NZ'!$R$46,'APPLICATION DATA - metric NZ'!$R$59,'APPLICATION DATA - metric NZ'!$R$71</definedName>
    <definedName name="mmixt.si">'APPLICATION DATA - metric'!$R$31,'APPLICATION DATA - metric'!$R$44,'APPLICATION DATA - metric'!$R$57,'APPLICATION DATA - metric'!$R$69</definedName>
    <definedName name="mmixt.zn" localSheetId="6">'APPLICATION DATA - metric NZ'!$O$33,'APPLICATION DATA - metric NZ'!$O$46,'APPLICATION DATA - metric NZ'!$O$59,'APPLICATION DATA - metric NZ'!$O$71</definedName>
    <definedName name="mmixt.zn">'APPLICATION DATA - metric'!$O$31,'APPLICATION DATA - metric'!$O$44,'APPLICATION DATA - metric'!$O$57,'APPLICATION DATA - metric'!$O$69</definedName>
    <definedName name="ms1.1" localSheetId="6">'APPLICATION DATA - metric NZ'!$C$77</definedName>
    <definedName name="ms1.1">'APPLICATION DATA - metric'!$C$75</definedName>
    <definedName name="ms1r.1" localSheetId="6">'APPLICATION DATA - metric NZ'!$F$77</definedName>
    <definedName name="ms1r.1">'APPLICATION DATA - metric'!$F$75</definedName>
    <definedName name="ms2.1" localSheetId="6">'APPLICATION DATA - metric NZ'!$C$81</definedName>
    <definedName name="ms2.1">'APPLICATION DATA - metric'!$C$79</definedName>
    <definedName name="ms2r.1" localSheetId="6">'APPLICATION DATA - metric NZ'!$F$81</definedName>
    <definedName name="ms2r.1">'APPLICATION DATA - metric'!$F$79</definedName>
    <definedName name="ms3.1" localSheetId="6">'APPLICATION DATA - metric NZ'!$C$85</definedName>
    <definedName name="ms3.1">'APPLICATION DATA - metric'!$C$83</definedName>
    <definedName name="ms3r.1" localSheetId="6">'APPLICATION DATA - metric NZ'!$F$85</definedName>
    <definedName name="ms3r.1">'APPLICATION DATA - metric'!$F$83</definedName>
    <definedName name="ms4.1" localSheetId="6">'APPLICATION DATA - metric NZ'!$C$89</definedName>
    <definedName name="ms4.1">'APPLICATION DATA - metric'!$C$87</definedName>
    <definedName name="ms4r.1" localSheetId="6">'APPLICATION DATA - metric NZ'!$F$89</definedName>
    <definedName name="ms4r.1">'APPLICATION DATA - metric'!$F$87</definedName>
    <definedName name="mspread1.b" localSheetId="6">'APPLICATION DATA - metric NZ'!$Q$77</definedName>
    <definedName name="mspread1.b">'APPLICATION DATA - metric'!$Q$75</definedName>
    <definedName name="mspread1.ca" localSheetId="6">'APPLICATION DATA - metric NZ'!$J$77</definedName>
    <definedName name="mspread1.ca">'APPLICATION DATA - metric'!$J$75</definedName>
    <definedName name="mspread1.co" localSheetId="6">'APPLICATION DATA - metric NZ'!$T$77</definedName>
    <definedName name="mspread1.co">'APPLICATION DATA - metric'!$T$75</definedName>
    <definedName name="mspread1.cu" localSheetId="6">'APPLICATION DATA - metric NZ'!$P$77</definedName>
    <definedName name="mspread1.cu">'APPLICATION DATA - metric'!$P$75</definedName>
    <definedName name="mspread1.fe" localSheetId="6">'APPLICATION DATA - metric NZ'!$M$77</definedName>
    <definedName name="mspread1.fe">'APPLICATION DATA - metric'!$M$75</definedName>
    <definedName name="mspread1.hpo3" localSheetId="6">'APPLICATION DATA - metric NZ'!$U$77</definedName>
    <definedName name="mspread1.hpo3">'APPLICATION DATA - metric'!$U$75</definedName>
    <definedName name="mspread1.k" localSheetId="6">'APPLICATION DATA - metric NZ'!$I$77</definedName>
    <definedName name="mspread1.k">'APPLICATION DATA - metric'!$I$75</definedName>
    <definedName name="mspread1.mg" localSheetId="6">'APPLICATION DATA - metric NZ'!$K$77</definedName>
    <definedName name="mspread1.mg">'APPLICATION DATA - metric'!$K$75</definedName>
    <definedName name="mspread1.mn" localSheetId="6">'APPLICATION DATA - metric NZ'!$N$77</definedName>
    <definedName name="mspread1.mn">'APPLICATION DATA - metric'!$N$75</definedName>
    <definedName name="mspread1.mo" localSheetId="6">'APPLICATION DATA - metric NZ'!$S$77</definedName>
    <definedName name="mspread1.mo">'APPLICATION DATA - metric'!$S$75</definedName>
    <definedName name="mspread1.n" localSheetId="6">'APPLICATION DATA - metric NZ'!$G$77</definedName>
    <definedName name="mspread1.n">'APPLICATION DATA - metric'!$G$75</definedName>
    <definedName name="mspread1.p" localSheetId="6">'APPLICATION DATA - metric NZ'!$H$77</definedName>
    <definedName name="mspread1.p">'APPLICATION DATA - metric'!$H$75</definedName>
    <definedName name="mspread1.s" localSheetId="6">'APPLICATION DATA - metric NZ'!$L$77</definedName>
    <definedName name="mspread1.s">'APPLICATION DATA - metric'!$L$75</definedName>
    <definedName name="mspread1.si" localSheetId="6">'APPLICATION DATA - metric NZ'!$R$77</definedName>
    <definedName name="mspread1.si">'APPLICATION DATA - metric'!$R$75</definedName>
    <definedName name="mspread1.zn" localSheetId="6">'APPLICATION DATA - metric NZ'!$O$77</definedName>
    <definedName name="mspread1.zn">'APPLICATION DATA - metric'!$O$75</definedName>
    <definedName name="mspread2.b" localSheetId="6">'APPLICATION DATA - metric NZ'!$Q$81</definedName>
    <definedName name="mspread2.b">'APPLICATION DATA - metric'!$Q$79</definedName>
    <definedName name="mspread2.ca" localSheetId="6">'APPLICATION DATA - metric NZ'!$J$81</definedName>
    <definedName name="mspread2.ca">'APPLICATION DATA - metric'!$J$79</definedName>
    <definedName name="mspread2.co" localSheetId="6">'APPLICATION DATA - metric NZ'!$T$81</definedName>
    <definedName name="mspread2.co">'APPLICATION DATA - metric'!$T$79</definedName>
    <definedName name="mspread2.cu" localSheetId="6">'APPLICATION DATA - metric NZ'!$P$81</definedName>
    <definedName name="mspread2.cu">'APPLICATION DATA - metric'!$P$79</definedName>
    <definedName name="mspread2.fe" localSheetId="6">'APPLICATION DATA - metric NZ'!$M$81</definedName>
    <definedName name="mspread2.fe">'APPLICATION DATA - metric'!$M$79</definedName>
    <definedName name="mspread2.hpo3" localSheetId="6">'APPLICATION DATA - metric NZ'!$U$81</definedName>
    <definedName name="mspread2.hpo3">'APPLICATION DATA - metric'!$U$79</definedName>
    <definedName name="mspread2.k" localSheetId="6">'APPLICATION DATA - metric NZ'!$I$81</definedName>
    <definedName name="mspread2.k">'APPLICATION DATA - metric'!$I$79</definedName>
    <definedName name="mspread2.mg" localSheetId="6">'APPLICATION DATA - metric NZ'!$K$81</definedName>
    <definedName name="mspread2.mg">'APPLICATION DATA - metric'!$K$79</definedName>
    <definedName name="mspread2.mn" localSheetId="6">'APPLICATION DATA - metric NZ'!$N$81</definedName>
    <definedName name="mspread2.mn">'APPLICATION DATA - metric'!$N$79</definedName>
    <definedName name="mspread2.mo" localSheetId="6">'APPLICATION DATA - metric NZ'!$S$81</definedName>
    <definedName name="mspread2.mo">'APPLICATION DATA - metric'!$S$79</definedName>
    <definedName name="mspread2.n" localSheetId="6">'APPLICATION DATA - metric NZ'!$G$81</definedName>
    <definedName name="mspread2.n">'APPLICATION DATA - metric'!$G$79</definedName>
    <definedName name="mspread2.p" localSheetId="6">'APPLICATION DATA - metric NZ'!$H$81</definedName>
    <definedName name="mspread2.p">'APPLICATION DATA - metric'!$H$79</definedName>
    <definedName name="mspread2.s" localSheetId="6">'APPLICATION DATA - metric NZ'!$L$81</definedName>
    <definedName name="mspread2.s">'APPLICATION DATA - metric'!$L$79</definedName>
    <definedName name="mspread2.si" localSheetId="6">'APPLICATION DATA - metric NZ'!$R$81</definedName>
    <definedName name="mspread2.si">'APPLICATION DATA - metric'!$R$79</definedName>
    <definedName name="mspread2.zn" localSheetId="6">'APPLICATION DATA - metric NZ'!$O$81</definedName>
    <definedName name="mspread2.zn">'APPLICATION DATA - metric'!$O$79</definedName>
    <definedName name="mspread3.b" localSheetId="6">'APPLICATION DATA - metric NZ'!$Q$85</definedName>
    <definedName name="mspread3.b">'APPLICATION DATA - metric'!$Q$83</definedName>
    <definedName name="mspread3.ca" localSheetId="6">'APPLICATION DATA - metric NZ'!$J$85</definedName>
    <definedName name="mspread3.ca">'APPLICATION DATA - metric'!$J$83</definedName>
    <definedName name="mspread3.co" localSheetId="6">'APPLICATION DATA - metric NZ'!$T$85</definedName>
    <definedName name="mspread3.co">'APPLICATION DATA - metric'!$T$83</definedName>
    <definedName name="mspread3.cu" localSheetId="6">'APPLICATION DATA - metric NZ'!$P$85</definedName>
    <definedName name="mspread3.cu">'APPLICATION DATA - metric'!$P$83</definedName>
    <definedName name="mspread3.fe" localSheetId="6">'APPLICATION DATA - metric NZ'!$M$85</definedName>
    <definedName name="mspread3.fe">'APPLICATION DATA - metric'!$M$83</definedName>
    <definedName name="mspread3.hpo3" localSheetId="6">'APPLICATION DATA - metric NZ'!$U$85</definedName>
    <definedName name="mspread3.hpo3">'APPLICATION DATA - metric'!$U$83</definedName>
    <definedName name="mspread3.k" localSheetId="6">'APPLICATION DATA - metric NZ'!$I$85</definedName>
    <definedName name="mspread3.k">'APPLICATION DATA - metric'!$I$83</definedName>
    <definedName name="mspread3.mg" localSheetId="6">'APPLICATION DATA - metric NZ'!$K$85</definedName>
    <definedName name="mspread3.mg">'APPLICATION DATA - metric'!$K$83</definedName>
    <definedName name="mspread3.mn" localSheetId="6">'APPLICATION DATA - metric NZ'!$N$85</definedName>
    <definedName name="mspread3.mn">'APPLICATION DATA - metric'!$N$83</definedName>
    <definedName name="mspread3.mo" localSheetId="6">'APPLICATION DATA - metric NZ'!$S$85</definedName>
    <definedName name="mspread3.mo">'APPLICATION DATA - metric'!$S$83</definedName>
    <definedName name="mspread3.n" localSheetId="6">'APPLICATION DATA - metric NZ'!$G$85</definedName>
    <definedName name="mspread3.n">'APPLICATION DATA - metric'!$G$83</definedName>
    <definedName name="mspread3.p" localSheetId="6">'APPLICATION DATA - metric NZ'!$H$85</definedName>
    <definedName name="mspread3.p">'APPLICATION DATA - metric'!$H$83</definedName>
    <definedName name="mspread3.s" localSheetId="6">'APPLICATION DATA - metric NZ'!$L$85</definedName>
    <definedName name="mspread3.s">'APPLICATION DATA - metric'!$L$83</definedName>
    <definedName name="mspread3.si" localSheetId="6">'APPLICATION DATA - metric NZ'!$R$85</definedName>
    <definedName name="mspread3.si">'APPLICATION DATA - metric'!$R$83</definedName>
    <definedName name="mspread3.zn" localSheetId="6">'APPLICATION DATA - metric NZ'!$O$85</definedName>
    <definedName name="mspread3.zn">'APPLICATION DATA - metric'!$O$83</definedName>
    <definedName name="mspread4.b" localSheetId="6">'APPLICATION DATA - metric NZ'!$Q$89</definedName>
    <definedName name="mspread4.b">'APPLICATION DATA - metric'!$Q$87</definedName>
    <definedName name="mspread4.ca" localSheetId="6">'APPLICATION DATA - metric NZ'!$J$89</definedName>
    <definedName name="mspread4.ca">'APPLICATION DATA - metric'!$J$87</definedName>
    <definedName name="mspread4.co" localSheetId="6">'APPLICATION DATA - metric NZ'!$T$89</definedName>
    <definedName name="mspread4.co">'APPLICATION DATA - metric'!$T$87</definedName>
    <definedName name="mspread4.cu" localSheetId="6">'APPLICATION DATA - metric NZ'!$P$89</definedName>
    <definedName name="mspread4.cu">'APPLICATION DATA - metric'!$P$87</definedName>
    <definedName name="mspread4.fe" localSheetId="6">'APPLICATION DATA - metric NZ'!$M$89</definedName>
    <definedName name="mspread4.fe">'APPLICATION DATA - metric'!$M$87</definedName>
    <definedName name="mspread4.hpo3" localSheetId="6">'APPLICATION DATA - metric NZ'!$U$89</definedName>
    <definedName name="mspread4.hpo3">'APPLICATION DATA - metric'!$U$87</definedName>
    <definedName name="mspread4.k" localSheetId="6">'APPLICATION DATA - metric NZ'!$I$89</definedName>
    <definedName name="mspread4.k">'APPLICATION DATA - metric'!$I$87</definedName>
    <definedName name="mspread4.mg" localSheetId="6">'APPLICATION DATA - metric NZ'!$K$89</definedName>
    <definedName name="mspread4.mg">'APPLICATION DATA - metric'!$K$87</definedName>
    <definedName name="mspread4.mn" localSheetId="6">'APPLICATION DATA - metric NZ'!$N$89</definedName>
    <definedName name="mspread4.mn">'APPLICATION DATA - metric'!$N$87</definedName>
    <definedName name="mspread4.mo" localSheetId="6">'APPLICATION DATA - metric NZ'!$S$89</definedName>
    <definedName name="mspread4.mo">'APPLICATION DATA - metric'!$S$87</definedName>
    <definedName name="mspread4.n" localSheetId="6">'APPLICATION DATA - metric NZ'!$G$89</definedName>
    <definedName name="mspread4.n">'APPLICATION DATA - metric'!$G$87</definedName>
    <definedName name="mspread4.p" localSheetId="6">'APPLICATION DATA - metric NZ'!$H$89</definedName>
    <definedName name="mspread4.p">'APPLICATION DATA - metric'!$H$87</definedName>
    <definedName name="mspread4.s" localSheetId="6">'APPLICATION DATA - metric NZ'!$L$89</definedName>
    <definedName name="mspread4.s">'APPLICATION DATA - metric'!$L$87</definedName>
    <definedName name="mspread4.si" localSheetId="6">'APPLICATION DATA - metric NZ'!$R$89</definedName>
    <definedName name="mspread4.si">'APPLICATION DATA - metric'!$R$87</definedName>
    <definedName name="mspread4.zn" localSheetId="6">'APPLICATION DATA - metric NZ'!$O$89</definedName>
    <definedName name="mspread4.zn">'APPLICATION DATA - metric'!$O$87</definedName>
    <definedName name="mspreader.area" localSheetId="6">'APPLICATION DATA - metric NZ'!$G$14</definedName>
    <definedName name="mspreader.area">'APPLICATION DATA - metric'!$G$14</definedName>
    <definedName name="mspreader1.count" localSheetId="6">'APPLICATION DATA - metric NZ'!$R$12</definedName>
    <definedName name="mspreader1.count">'APPLICATION DATA - metric'!$R$12</definedName>
    <definedName name="mspreader2.count" localSheetId="6">'APPLICATION DATA - metric NZ'!$R$13</definedName>
    <definedName name="mspreader2.count">'APPLICATION DATA - metric'!$R$13</definedName>
    <definedName name="mspreader3.count" localSheetId="6">'APPLICATION DATA - metric NZ'!$R$14</definedName>
    <definedName name="mspreader3.count">'APPLICATION DATA - metric'!$R$14</definedName>
    <definedName name="mspreader4.count" localSheetId="6">'APPLICATION DATA - metric NZ'!$R$15</definedName>
    <definedName name="mspreader4.count">'APPLICATION DATA - metric'!$R$15</definedName>
    <definedName name="mspreadt.b" localSheetId="6">'APPLICATION DATA - metric NZ'!$Q$78,'APPLICATION DATA - metric NZ'!$Q$82,'APPLICATION DATA - metric NZ'!$Q$86,'APPLICATION DATA - metric NZ'!$Q$90</definedName>
    <definedName name="mspreadt.b">'APPLICATION DATA - metric'!$Q$76,'APPLICATION DATA - metric'!$Q$80,'APPLICATION DATA - metric'!$Q$84,'APPLICATION DATA - metric'!$Q$88</definedName>
    <definedName name="mspreadt.ca" localSheetId="6">'APPLICATION DATA - metric NZ'!$J$78,'APPLICATION DATA - metric NZ'!$J$82,'APPLICATION DATA - metric NZ'!$J$86,'APPLICATION DATA - metric NZ'!$J$90</definedName>
    <definedName name="mspreadt.ca">'APPLICATION DATA - metric'!$J$76,'APPLICATION DATA - metric'!$J$80,'APPLICATION DATA - metric'!$J$84,'APPLICATION DATA - metric'!$J$88</definedName>
    <definedName name="mspreadt.co" localSheetId="6">'APPLICATION DATA - metric NZ'!$T$78,'APPLICATION DATA - metric NZ'!$T$82,'APPLICATION DATA - metric NZ'!$T$86,'APPLICATION DATA - metric NZ'!$T$90</definedName>
    <definedName name="mspreadt.co">'APPLICATION DATA - metric'!$T$76,'APPLICATION DATA - metric'!$T$80,'APPLICATION DATA - metric'!$T$84,'APPLICATION DATA - metric'!$T$88</definedName>
    <definedName name="mspreadt.count">'PROGRAMME ANALYSIS - metric'!$K$5</definedName>
    <definedName name="mspreadt.cu" localSheetId="6">'APPLICATION DATA - metric NZ'!$P$78,'APPLICATION DATA - metric NZ'!$P$82,'APPLICATION DATA - metric NZ'!$P$86,'APPLICATION DATA - metric NZ'!$P$90</definedName>
    <definedName name="mspreadt.cu">'APPLICATION DATA - metric'!$P$76,'APPLICATION DATA - metric'!$P$80,'APPLICATION DATA - metric'!$P$84,'APPLICATION DATA - metric'!$P$88</definedName>
    <definedName name="mspreadt.fe" localSheetId="6">'APPLICATION DATA - metric NZ'!$M$78,'APPLICATION DATA - metric NZ'!$M$82,'APPLICATION DATA - metric NZ'!$M$86,'APPLICATION DATA - metric NZ'!$M$90</definedName>
    <definedName name="mspreadt.fe">'APPLICATION DATA - metric'!$M$76,'APPLICATION DATA - metric'!$M$80,'APPLICATION DATA - metric'!$M$84,'APPLICATION DATA - metric'!$M$88</definedName>
    <definedName name="mspreadt.hpo3" localSheetId="6">'APPLICATION DATA - metric NZ'!$U$78,'APPLICATION DATA - metric NZ'!$U$82,'APPLICATION DATA - metric NZ'!$U$86,'APPLICATION DATA - metric NZ'!$U$90</definedName>
    <definedName name="mspreadt.hpo3">'APPLICATION DATA - metric'!$U$76,'APPLICATION DATA - metric'!$U$80,'APPLICATION DATA - metric'!$U$84,'APPLICATION DATA - metric'!$U$88</definedName>
    <definedName name="mspreadt.k" localSheetId="6">'APPLICATION DATA - metric NZ'!$I$78,'APPLICATION DATA - metric NZ'!$I$82,'APPLICATION DATA - metric NZ'!$I$86,'APPLICATION DATA - metric NZ'!$I$90</definedName>
    <definedName name="mspreadt.k">'APPLICATION DATA - metric'!$I$76,'APPLICATION DATA - metric'!$I$80,'APPLICATION DATA - metric'!$I$84,'APPLICATION DATA - metric'!$I$88</definedName>
    <definedName name="mspreadt.mg" localSheetId="6">'APPLICATION DATA - metric NZ'!$K$78,'APPLICATION DATA - metric NZ'!$K$82,'APPLICATION DATA - metric NZ'!$K$86,'APPLICATION DATA - metric NZ'!$K$90</definedName>
    <definedName name="mspreadt.mg">'APPLICATION DATA - metric'!$K$76,'APPLICATION DATA - metric'!$K$80,'APPLICATION DATA - metric'!$K$84,'APPLICATION DATA - metric'!$K$88</definedName>
    <definedName name="mspreadt.mn" localSheetId="6">'APPLICATION DATA - metric NZ'!$N$78,'APPLICATION DATA - metric NZ'!$N$82,'APPLICATION DATA - metric NZ'!$N$86,'APPLICATION DATA - metric NZ'!$N$90</definedName>
    <definedName name="mspreadt.mn">'APPLICATION DATA - metric'!$N$76,'APPLICATION DATA - metric'!$N$80,'APPLICATION DATA - metric'!$N$84,'APPLICATION DATA - metric'!$N$88</definedName>
    <definedName name="mspreadt.mo" localSheetId="6">'APPLICATION DATA - metric NZ'!$S$78,'APPLICATION DATA - metric NZ'!$S$82,'APPLICATION DATA - metric NZ'!$S$86,'APPLICATION DATA - metric NZ'!$S$90</definedName>
    <definedName name="mspreadt.mo">'APPLICATION DATA - metric'!$S$76,'APPLICATION DATA - metric'!$S$80,'APPLICATION DATA - metric'!$S$84,'APPLICATION DATA - metric'!$S$88</definedName>
    <definedName name="mspreadt.n" localSheetId="6">'APPLICATION DATA - metric NZ'!$G$78,'APPLICATION DATA - metric NZ'!$G$82,'APPLICATION DATA - metric NZ'!$G$86,'APPLICATION DATA - metric NZ'!$G$90</definedName>
    <definedName name="mspreadt.n">'APPLICATION DATA - metric'!$G$76,'APPLICATION DATA - metric'!$G$80,'APPLICATION DATA - metric'!$G$84,'APPLICATION DATA - metric'!$G$88</definedName>
    <definedName name="mspreadt.p" localSheetId="6">'APPLICATION DATA - metric NZ'!$H$78,'APPLICATION DATA - metric NZ'!$H$82,'APPLICATION DATA - metric NZ'!$H$86,'APPLICATION DATA - metric NZ'!$H$90</definedName>
    <definedName name="mspreadt.p">'APPLICATION DATA - metric'!$H$76,'APPLICATION DATA - metric'!$H$80,'APPLICATION DATA - metric'!$H$84,'APPLICATION DATA - metric'!$H$88</definedName>
    <definedName name="mspreadt.s" localSheetId="6">'APPLICATION DATA - metric NZ'!$L$78,'APPLICATION DATA - metric NZ'!$L$82,'APPLICATION DATA - metric NZ'!$L$86,'APPLICATION DATA - metric NZ'!$L$90</definedName>
    <definedName name="mspreadt.s">'APPLICATION DATA - metric'!$L$76,'APPLICATION DATA - metric'!$L$80,'APPLICATION DATA - metric'!$L$84,'APPLICATION DATA - metric'!$L$88</definedName>
    <definedName name="mspreadt.si" localSheetId="6">'APPLICATION DATA - metric NZ'!$R$78,'APPLICATION DATA - metric NZ'!$R$82,'APPLICATION DATA - metric NZ'!$R$86,'APPLICATION DATA - metric NZ'!$R$90</definedName>
    <definedName name="mspreadt.si">'APPLICATION DATA - metric'!$R$76,'APPLICATION DATA - metric'!$R$80,'APPLICATION DATA - metric'!$R$84,'APPLICATION DATA - metric'!$R$88</definedName>
    <definedName name="mspreadt.zn" localSheetId="6">'APPLICATION DATA - metric NZ'!$O$78,'APPLICATION DATA - metric NZ'!$O$82,'APPLICATION DATA - metric NZ'!$O$86,'APPLICATION DATA - metric NZ'!$O$90</definedName>
    <definedName name="mspreadt.zn">'APPLICATION DATA - metric'!$O$76,'APPLICATION DATA - metric'!$O$80,'APPLICATION DATA - metric'!$O$84,'APPLICATION DATA - metric'!$O$88</definedName>
    <definedName name="mtank.area" localSheetId="6">'APPLICATION DATA - metric NZ'!$G$13</definedName>
    <definedName name="mtank.area">'APPLICATION DATA - metric'!$G$13</definedName>
    <definedName name="mzmix1.count">'APPLICATION DATA - metric NZ'!$M$12</definedName>
    <definedName name="mzmix2.count">'APPLICATION DATA - metric NZ'!$M$13</definedName>
    <definedName name="mzmix3.count">'APPLICATION DATA - metric NZ'!$M$14</definedName>
    <definedName name="mzmix4.count">'APPLICATION DATA - metric NZ'!$M$15</definedName>
    <definedName name="mzspreader.area">'APPLICATION DATA - metric NZ'!$G$14</definedName>
    <definedName name="mzspreader1.count">'APPLICATION DATA - metric NZ'!$R$12</definedName>
    <definedName name="mzspreader2.count">'APPLICATION DATA - metric NZ'!$R$13</definedName>
    <definedName name="mzspreader3.count">'APPLICATION DATA - metric NZ'!$R$14</definedName>
    <definedName name="mzspreader4.count">'APPLICATION DATA - metric NZ'!$R$15</definedName>
    <definedName name="mztank.area">'APPLICATION DATA - metric NZ'!$G$13</definedName>
    <definedName name="N.215">'PRODUCT DATA'!$L$5</definedName>
    <definedName name="P.215">'PRODUCT DATA'!$M$5</definedName>
    <definedName name="_xlnm.Print_Area" localSheetId="4">'APPLICATION DATA - metric'!$C$1:$U$88</definedName>
    <definedName name="_xlnm.Print_Area" localSheetId="6">'APPLICATION DATA - metric NZ'!$C$1:$U$90</definedName>
    <definedName name="_xlnm.Print_Area" localSheetId="2">'APPLICATION DATA - standard'!$C$1:$U$93</definedName>
    <definedName name="_xlnm.Print_Area" localSheetId="0">'G U I D E'!$B$1:$N$51</definedName>
    <definedName name="_xlnm.Print_Area" localSheetId="1">'PRODUCT DATA'!$B$1:$AB$75</definedName>
    <definedName name="_xlnm.Print_Area" localSheetId="3">'PROGRAM ANALYSIS - standard'!$C$1:$U$77</definedName>
    <definedName name="_xlnm.Print_Area" localSheetId="5">'PROGRAMME ANALYSIS - metric'!$C$1:$U$73</definedName>
    <definedName name="prog.descrip">'APPLICATION DATA - standard'!$J$6</definedName>
    <definedName name="Prog.Grand.Total">'PROGRAM ANALYSIS - standard'!$S$3</definedName>
    <definedName name="proge.descrip" localSheetId="6">'APPLICATION DATA - metric NZ'!$J$6</definedName>
    <definedName name="proge.descrip">'APPLICATION DATA - metric'!$J$6</definedName>
    <definedName name="Proge.Grand.Total">'PROGRAMME ANALYSIS - metric'!$S$3</definedName>
    <definedName name="ProgeTitle" localSheetId="6">'APPLICATION DATA - metric NZ'!$C$6</definedName>
    <definedName name="ProgeTitle">'APPLICATION DATA - metric'!$C$6</definedName>
    <definedName name="progez.descrip">'APPLICATION DATA - metric NZ'!$J$6</definedName>
    <definedName name="ProgezTitle">'APPLICATION DATA - metric NZ'!$C$6</definedName>
    <definedName name="ProgTitle">'APPLICATION DATA - standard'!$C$6</definedName>
    <definedName name="ProvenFoliar_List" comment="All Tru-Foliar Products">'PRODUCT DATA'!$C$3:$C$33,'PRODUCT DATA'!$C$35:$C$46</definedName>
    <definedName name="ProvenFoliar_List2" localSheetId="4">'APPLICATION DATA - metric'!$V$90:$V$118</definedName>
    <definedName name="ProvenFoliar_List2" localSheetId="6">'APPLICATION DATA - metric NZ'!$V$92:$V$120</definedName>
    <definedName name="ProvenFoliar_List2">'APPLICATION DATA - standard'!$V$94:$V$127</definedName>
    <definedName name="s1.1">'APPLICATION DATA - standard'!$C$79</definedName>
    <definedName name="s1r.1">'APPLICATION DATA - standard'!$F$79</definedName>
    <definedName name="s2.1">'APPLICATION DATA - standard'!$C$83</definedName>
    <definedName name="s2r.1">'APPLICATION DATA - standard'!$F$83</definedName>
    <definedName name="s3.1">'APPLICATION DATA - standard'!$C$87</definedName>
    <definedName name="s3r.1">'APPLICATION DATA - standard'!$F$87</definedName>
    <definedName name="s4.1">'APPLICATION DATA - standard'!$C$91</definedName>
    <definedName name="s4r.1">'APPLICATION DATA - standard'!$F$91</definedName>
    <definedName name="special.x1">'APPLICATION DATA - standard'!$T$18</definedName>
    <definedName name="spread1.b">'APPLICATION DATA - standard'!$Q$79</definedName>
    <definedName name="spread1.ca">'APPLICATION DATA - standard'!$J$79</definedName>
    <definedName name="spread1.co">'APPLICATION DATA - standard'!$T$79</definedName>
    <definedName name="spread1.cu">'APPLICATION DATA - standard'!$P$79</definedName>
    <definedName name="spread1.fe">'APPLICATION DATA - standard'!$M$79</definedName>
    <definedName name="spread1.hpo3">'APPLICATION DATA - standard'!$U$79</definedName>
    <definedName name="spread1.k">'APPLICATION DATA - standard'!$I$79</definedName>
    <definedName name="spread1.mg">'APPLICATION DATA - standard'!$K$79</definedName>
    <definedName name="spread1.mn">'APPLICATION DATA - standard'!$N$79</definedName>
    <definedName name="spread1.mo">'APPLICATION DATA - standard'!$S$79</definedName>
    <definedName name="spread1.n">'APPLICATION DATA - standard'!$G$79</definedName>
    <definedName name="spread1.p">'APPLICATION DATA - standard'!$H$79</definedName>
    <definedName name="spread1.s">'APPLICATION DATA - standard'!$L$79</definedName>
    <definedName name="spread1.si">'APPLICATION DATA - standard'!$R$79</definedName>
    <definedName name="spread1.zn">'APPLICATION DATA - standard'!$O$79</definedName>
    <definedName name="spread2.b">'APPLICATION DATA - standard'!$Q$83</definedName>
    <definedName name="spread2.ca">'APPLICATION DATA - standard'!$J$83</definedName>
    <definedName name="spread2.co">'APPLICATION DATA - standard'!$T$83</definedName>
    <definedName name="spread2.cu">'APPLICATION DATA - standard'!$P$83</definedName>
    <definedName name="spread2.fe">'APPLICATION DATA - standard'!$M$83</definedName>
    <definedName name="spread2.hpo3">'APPLICATION DATA - standard'!$U$83</definedName>
    <definedName name="spread2.k">'APPLICATION DATA - standard'!$I$83</definedName>
    <definedName name="spread2.mg">'APPLICATION DATA - standard'!$K$83</definedName>
    <definedName name="spread2.mn">'APPLICATION DATA - standard'!$N$83</definedName>
    <definedName name="spread2.mo">'APPLICATION DATA - standard'!$S$83</definedName>
    <definedName name="spread2.n">'APPLICATION DATA - standard'!$G$83</definedName>
    <definedName name="spread2.p">'APPLICATION DATA - standard'!$H$83</definedName>
    <definedName name="spread2.s">'APPLICATION DATA - standard'!$L$83</definedName>
    <definedName name="spread2.si">'APPLICATION DATA - standard'!$R$83</definedName>
    <definedName name="spread2.zn">'APPLICATION DATA - standard'!$O$83</definedName>
    <definedName name="spread3.b">'APPLICATION DATA - standard'!$Q$87</definedName>
    <definedName name="spread3.ca">'APPLICATION DATA - standard'!$J$87</definedName>
    <definedName name="spread3.co">'APPLICATION DATA - standard'!$T$87</definedName>
    <definedName name="spread3.cu">'APPLICATION DATA - standard'!$P$87</definedName>
    <definedName name="spread3.fe">'APPLICATION DATA - standard'!$M$87</definedName>
    <definedName name="spread3.hpo3">'APPLICATION DATA - standard'!$U$87</definedName>
    <definedName name="spread3.k">'APPLICATION DATA - standard'!$I$87</definedName>
    <definedName name="spread3.mg">'APPLICATION DATA - standard'!$K$87</definedName>
    <definedName name="spread3.mn">'APPLICATION DATA - standard'!$N$87</definedName>
    <definedName name="spread3.mo">'APPLICATION DATA - standard'!$S$87</definedName>
    <definedName name="spread3.n">'APPLICATION DATA - standard'!$G$87</definedName>
    <definedName name="spread3.p">'APPLICATION DATA - standard'!$H$87</definedName>
    <definedName name="spread3.s">'APPLICATION DATA - standard'!$L$87</definedName>
    <definedName name="spread3.si">'APPLICATION DATA - standard'!$R$87</definedName>
    <definedName name="spread3.zn">'APPLICATION DATA - standard'!$O$87</definedName>
    <definedName name="spread4.b">'APPLICATION DATA - standard'!$Q$91</definedName>
    <definedName name="spread4.ca">'APPLICATION DATA - standard'!$J$91</definedName>
    <definedName name="spread4.co">'APPLICATION DATA - standard'!$T$91</definedName>
    <definedName name="spread4.cu">'APPLICATION DATA - standard'!$P$91</definedName>
    <definedName name="spread4.fe">'APPLICATION DATA - standard'!$M$91</definedName>
    <definedName name="spread4.hpo3">'APPLICATION DATA - standard'!$U$91</definedName>
    <definedName name="spread4.k">'APPLICATION DATA - standard'!$I$91</definedName>
    <definedName name="spread4.mg">'APPLICATION DATA - standard'!$K$91</definedName>
    <definedName name="spread4.mn">'APPLICATION DATA - standard'!$N$91</definedName>
    <definedName name="spread4.mo">'APPLICATION DATA - standard'!$S$91</definedName>
    <definedName name="spread4.n">'APPLICATION DATA - standard'!$G$91</definedName>
    <definedName name="spread4.p">'APPLICATION DATA - standard'!$H$91</definedName>
    <definedName name="spread4.s">'APPLICATION DATA - standard'!$L$91</definedName>
    <definedName name="spread4.si">'APPLICATION DATA - standard'!$R$91</definedName>
    <definedName name="spread4.zn">'APPLICATION DATA - standard'!$O$91</definedName>
    <definedName name="spreader.area">'APPLICATION DATA - standard'!$G$14</definedName>
    <definedName name="spreader1.count">'APPLICATION DATA - standard'!$R$12</definedName>
    <definedName name="spreader2.count">'APPLICATION DATA - standard'!$R$13</definedName>
    <definedName name="spreader3.count">'APPLICATION DATA - standard'!$R$14</definedName>
    <definedName name="spreader4.count">'APPLICATION DATA - standard'!$R$15</definedName>
    <definedName name="spreadt.b">'APPLICATION DATA - standard'!$Q$92,'APPLICATION DATA - standard'!$Q$88,'APPLICATION DATA - standard'!$Q$84,'APPLICATION DATA - standard'!$Q$80</definedName>
    <definedName name="spreadt.ca">'APPLICATION DATA - standard'!$J$80,'APPLICATION DATA - standard'!$J$84,'APPLICATION DATA - standard'!$J$88,'APPLICATION DATA - standard'!$J$92</definedName>
    <definedName name="spreadt.co">'APPLICATION DATA - standard'!$T$92,'APPLICATION DATA - standard'!$T$88,'APPLICATION DATA - standard'!$T$84,'APPLICATION DATA - standard'!$T$80</definedName>
    <definedName name="spreadt.count">'PROGRAM ANALYSIS - standard'!$K$5</definedName>
    <definedName name="spreadt.cu">'APPLICATION DATA - standard'!$P$92,'APPLICATION DATA - standard'!$P$88,'APPLICATION DATA - standard'!$P$84,'APPLICATION DATA - standard'!$P$80</definedName>
    <definedName name="spreadt.fe">'APPLICATION DATA - standard'!$M$80,'APPLICATION DATA - standard'!$M$84,'APPLICATION DATA - standard'!$M$88,'APPLICATION DATA - standard'!$M$92</definedName>
    <definedName name="spreadt.hpo3">'APPLICATION DATA - standard'!$U$92,'APPLICATION DATA - standard'!$U$88,'APPLICATION DATA - standard'!$U$84,'APPLICATION DATA - standard'!$U$80</definedName>
    <definedName name="spreadt.k">'APPLICATION DATA - standard'!$I$80,'APPLICATION DATA - standard'!$I$84,'APPLICATION DATA - standard'!$I$88,'APPLICATION DATA - standard'!$I$92</definedName>
    <definedName name="spreadt.mg">'APPLICATION DATA - standard'!$K$80,'APPLICATION DATA - standard'!$K$84,'APPLICATION DATA - standard'!$K$88,'APPLICATION DATA - standard'!$K$92</definedName>
    <definedName name="spreadt.mn">'APPLICATION DATA - standard'!$N$92,'APPLICATION DATA - standard'!$N$88,'APPLICATION DATA - standard'!$N$84,'APPLICATION DATA - standard'!$N$80</definedName>
    <definedName name="spreadt.mo">'APPLICATION DATA - standard'!$S$92,'APPLICATION DATA - standard'!$S$88,'APPLICATION DATA - standard'!$S$84,'APPLICATION DATA - standard'!$S$80</definedName>
    <definedName name="spreadt.n">'APPLICATION DATA - standard'!$G$80,'APPLICATION DATA - standard'!$G$84,'APPLICATION DATA - standard'!$G$88,'APPLICATION DATA - standard'!$G$92</definedName>
    <definedName name="spreadt.p">'APPLICATION DATA - standard'!$H$80,'APPLICATION DATA - standard'!$H$84,'APPLICATION DATA - standard'!$H$88,'APPLICATION DATA - standard'!$H$92</definedName>
    <definedName name="spreadt.s">'APPLICATION DATA - standard'!$L$92,'APPLICATION DATA - standard'!$L$88,'APPLICATION DATA - standard'!$L$84,'APPLICATION DATA - standard'!$L$80</definedName>
    <definedName name="spreadt.si">'APPLICATION DATA - standard'!$R$92,'APPLICATION DATA - standard'!$R$88,'APPLICATION DATA - standard'!$R$84,'APPLICATION DATA - standard'!$R$80</definedName>
    <definedName name="spreadt.zn">'APPLICATION DATA - standard'!$O$80,'APPLICATION DATA - standard'!$O$84,'APPLICATION DATA - standard'!$O$88,'APPLICATION DATA - standard'!$O$92</definedName>
    <definedName name="sq.ft.a">'APPLICATION DATA - standard'!$E$11</definedName>
    <definedName name="sq.ft.b">'APPLICATION DATA - standard'!$F$12</definedName>
    <definedName name="sq.m.a" localSheetId="6">'APPLICATION DATA - metric NZ'!$E$11</definedName>
    <definedName name="sq.m.a">'APPLICATION DATA - metric'!$E$11</definedName>
    <definedName name="sq.m.b" localSheetId="6">'APPLICATION DATA - metric NZ'!$F$12</definedName>
    <definedName name="sq.m.b">'APPLICATION DATA - metric'!$F$12</definedName>
    <definedName name="sq.mz.a">'APPLICATION DATA - metric NZ'!$E$11</definedName>
    <definedName name="sq.mz.b">'APPLICATION DATA - metric NZ'!$F$12</definedName>
    <definedName name="start.date">'APPLICATION DATA - standard'!$J$3</definedName>
    <definedName name="start.date2" localSheetId="6">'APPLICATION DATA - metric NZ'!$J$3</definedName>
    <definedName name="start.date2">'APPLICATION DATA - metric'!$J$3</definedName>
    <definedName name="start.date3">'APPLICATION DATA - metric NZ'!$J$3</definedName>
    <definedName name="tank.area">'APPLICATION DATA - standard'!$G$13</definedName>
    <definedName name="target.b">'APPLICATION DATA - standard'!$M$19</definedName>
    <definedName name="target.b2" localSheetId="6">'APPLICATION DATA - metric NZ'!$M$19</definedName>
    <definedName name="target.b2">'APPLICATION DATA - metric'!$M$19</definedName>
    <definedName name="target.ca">'APPLICATION DATA - standard'!$F$19</definedName>
    <definedName name="target.ca2" localSheetId="6">'APPLICATION DATA - metric NZ'!$F$19</definedName>
    <definedName name="target.ca2">'APPLICATION DATA - metric'!$F$19</definedName>
    <definedName name="target.co">'APPLICATION DATA - standard'!$P$19</definedName>
    <definedName name="target.co2" localSheetId="6">'APPLICATION DATA - metric NZ'!$P$19</definedName>
    <definedName name="target.co2">'APPLICATION DATA - metric'!$P$19</definedName>
    <definedName name="target.cu">'APPLICATION DATA - standard'!$L$19</definedName>
    <definedName name="target.cu2" localSheetId="6">'APPLICATION DATA - metric NZ'!$L$19</definedName>
    <definedName name="target.cu2">'APPLICATION DATA - metric'!$L$19</definedName>
    <definedName name="target.fe">'APPLICATION DATA - standard'!$I$19</definedName>
    <definedName name="target.fe.mn">'APPLICATION DATA - standard'!$S$19</definedName>
    <definedName name="target.fe2" localSheetId="6">'APPLICATION DATA - metric NZ'!$I$19</definedName>
    <definedName name="target.fe2">'APPLICATION DATA - metric'!$I$19</definedName>
    <definedName name="target.hp30">'APPLICATION DATA - standard'!$Q$19</definedName>
    <definedName name="target.hpo3">'APPLICATION DATA - standard'!$Q$19</definedName>
    <definedName name="target.hpo32" localSheetId="6">'APPLICATION DATA - metric NZ'!$Q$19</definedName>
    <definedName name="target.hpo32">'APPLICATION DATA - metric'!$Q$19</definedName>
    <definedName name="target.k">'APPLICATION DATA - standard'!$E$19</definedName>
    <definedName name="target.k2" localSheetId="6">'APPLICATION DATA - metric NZ'!$E$19</definedName>
    <definedName name="target.k2">'APPLICATION DATA - metric'!$E$19</definedName>
    <definedName name="target.mg">'APPLICATION DATA - standard'!$G$19</definedName>
    <definedName name="target.mg2" localSheetId="6">'APPLICATION DATA - metric NZ'!$G$19</definedName>
    <definedName name="target.mg2">'APPLICATION DATA - metric'!$G$19</definedName>
    <definedName name="target.mn">'APPLICATION DATA - standard'!$J$19</definedName>
    <definedName name="target.mn2" localSheetId="6">'APPLICATION DATA - metric NZ'!$J$19</definedName>
    <definedName name="target.mn2">'APPLICATION DATA - metric'!$J$19</definedName>
    <definedName name="target.mo">'APPLICATION DATA - standard'!$O$19</definedName>
    <definedName name="target.mo2" localSheetId="6">'APPLICATION DATA - metric NZ'!$O$19</definedName>
    <definedName name="target.mo2">'APPLICATION DATA - metric'!$O$19</definedName>
    <definedName name="target.n">'APPLICATION DATA - standard'!$C$19</definedName>
    <definedName name="target.n2" localSheetId="6">'APPLICATION DATA - metric NZ'!$C$19</definedName>
    <definedName name="target.n2">'APPLICATION DATA - metric'!$C$19</definedName>
    <definedName name="target.p">'APPLICATION DATA - standard'!$D$19</definedName>
    <definedName name="target.p.hpo3">'APPLICATION DATA - standard'!$R$19</definedName>
    <definedName name="target.p2" localSheetId="6">'APPLICATION DATA - metric NZ'!$D$19</definedName>
    <definedName name="target.p2">'APPLICATION DATA - metric'!$D$19</definedName>
    <definedName name="target.s">'APPLICATION DATA - standard'!$H$19</definedName>
    <definedName name="target.s2" localSheetId="6">'APPLICATION DATA - metric NZ'!$H$19</definedName>
    <definedName name="target.s2">'APPLICATION DATA - metric'!$H$19</definedName>
    <definedName name="target.si">'APPLICATION DATA - standard'!$N$19</definedName>
    <definedName name="target.si2" localSheetId="6">'APPLICATION DATA - metric NZ'!$N$19</definedName>
    <definedName name="target.si2">'APPLICATION DATA - metric'!$N$19</definedName>
    <definedName name="target.x1">'APPLICATION DATA - standard'!$T$19</definedName>
    <definedName name="target.x12" localSheetId="6">'APPLICATION DATA - metric NZ'!$T$19</definedName>
    <definedName name="target.x12">'APPLICATION DATA - metric'!$T$19</definedName>
    <definedName name="target.zn">'APPLICATION DATA - standard'!$K$19</definedName>
    <definedName name="target.zn2" localSheetId="6">'APPLICATION DATA - metric NZ'!$K$19</definedName>
    <definedName name="target.zn2">'APPLICATION DATA - metric'!$K$19</definedName>
    <definedName name="targetca">'APPLICATION DATA - standard'!$F$19</definedName>
    <definedName name="total.acres">'PROGRAM ANALYSIS - standard'!$M$3</definedName>
    <definedName name="total.hectares">'PROGRAMME ANALYSIS - metric'!$M$3</definedName>
    <definedName name="total.sqft">'PROGRAM ANALYSIS - standard'!$M$2</definedName>
    <definedName name="total.sqm">'PROGRAMME ANALYSIS - metric'!$M$2</definedName>
    <definedName name="VERSION">'G U I D E'!$B$1</definedName>
    <definedName name="Z_F1651EBB_9323_409D_980E_CBA49ADEAE68_.wvu.Cols" localSheetId="1" hidden="1">'PRODUCT DATA'!$A:$A</definedName>
    <definedName name="Z_F1651EBB_9323_409D_980E_CBA49ADEAE68_.wvu.PrintArea" localSheetId="4" hidden="1">'APPLICATION DATA - metric'!$C$2:$U$30</definedName>
    <definedName name="Z_F1651EBB_9323_409D_980E_CBA49ADEAE68_.wvu.PrintArea" localSheetId="6" hidden="1">'APPLICATION DATA - metric NZ'!$C$2:$U$32</definedName>
    <definedName name="Z_F1651EBB_9323_409D_980E_CBA49ADEAE68_.wvu.PrintArea" localSheetId="2" hidden="1">'APPLICATION DATA - standard'!$C$2:$U$34</definedName>
    <definedName name="Z_F1651EBB_9323_409D_980E_CBA49ADEAE68_.wvu.PrintArea" localSheetId="0" hidden="1">'G U I D E'!$B$2:$L$30</definedName>
    <definedName name="Z_F1651EBB_9323_409D_980E_CBA49ADEAE68_.wvu.PrintArea" localSheetId="1" hidden="1">'PRODUCT DATA'!$B$2:$AB$46</definedName>
  </definedNames>
  <calcPr calcId="171027"/>
  <customWorkbookViews>
    <customWorkbookView name="All Data" guid="{F1651EBB-9323-409D-980E-CBA49ADEAE68}" maximized="1" xWindow="1" yWindow="1" windowWidth="1920" windowHeight="1009" activeSheetId="1"/>
  </customWorkbookViews>
</workbook>
</file>

<file path=xl/calcChain.xml><?xml version="1.0" encoding="utf-8"?>
<calcChain xmlns="http://schemas.openxmlformats.org/spreadsheetml/2006/main">
  <c r="F5" i="1" l="1"/>
  <c r="A91" i="2" l="1"/>
  <c r="A87" i="2"/>
  <c r="A83" i="2"/>
  <c r="V136" i="2" l="1"/>
  <c r="V125" i="2"/>
  <c r="V124" i="2"/>
  <c r="V123" i="2"/>
  <c r="A79" i="2"/>
  <c r="A71" i="2"/>
  <c r="A70" i="2"/>
  <c r="A69" i="2"/>
  <c r="A68" i="2"/>
  <c r="A67" i="2"/>
  <c r="A66" i="2"/>
  <c r="A59" i="2"/>
  <c r="A58" i="2"/>
  <c r="A57" i="2"/>
  <c r="A56" i="2"/>
  <c r="A55" i="2"/>
  <c r="A54" i="2"/>
  <c r="A46" i="2"/>
  <c r="A45" i="2"/>
  <c r="A44" i="2"/>
  <c r="A43" i="2"/>
  <c r="A42" i="2"/>
  <c r="A41" i="2"/>
  <c r="A33" i="2"/>
  <c r="A32" i="2"/>
  <c r="A31" i="2"/>
  <c r="A30" i="2"/>
  <c r="A29" i="2"/>
  <c r="A28" i="2"/>
  <c r="A27" i="2"/>
  <c r="A26" i="2"/>
  <c r="A25" i="2"/>
  <c r="A24" i="2"/>
  <c r="AC44" i="1" l="1"/>
  <c r="P44" i="1"/>
  <c r="N44" i="1"/>
  <c r="H44" i="1"/>
  <c r="J44" i="1" s="1"/>
  <c r="F44" i="1"/>
  <c r="G44" i="1" s="1"/>
  <c r="AC43" i="1"/>
  <c r="P43" i="1"/>
  <c r="N43" i="1"/>
  <c r="H43" i="1"/>
  <c r="I43" i="1" s="1"/>
  <c r="F43" i="1"/>
  <c r="G43" i="1" s="1"/>
  <c r="AC42" i="1"/>
  <c r="P42" i="1"/>
  <c r="N42" i="1"/>
  <c r="H42" i="1"/>
  <c r="I42" i="1" s="1"/>
  <c r="F42" i="1"/>
  <c r="G42" i="1" s="1"/>
  <c r="AC41" i="1"/>
  <c r="P41" i="1"/>
  <c r="N41" i="1"/>
  <c r="H41" i="1"/>
  <c r="J41" i="1" s="1"/>
  <c r="F41" i="1"/>
  <c r="G41" i="1" s="1"/>
  <c r="I44" i="1" l="1"/>
  <c r="J43" i="1"/>
  <c r="I41" i="1"/>
  <c r="J42" i="1"/>
  <c r="V109" i="2"/>
  <c r="V111" i="2" l="1"/>
  <c r="C35" i="3" l="1"/>
  <c r="A35" i="3" s="1"/>
  <c r="C34" i="3"/>
  <c r="A34" i="3" s="1"/>
  <c r="C33" i="3"/>
  <c r="A33" i="3" s="1"/>
  <c r="C32" i="3"/>
  <c r="A32" i="3" s="1"/>
  <c r="C31" i="3"/>
  <c r="A31" i="3" s="1"/>
  <c r="C30" i="3"/>
  <c r="A30" i="3" s="1"/>
  <c r="C29" i="3"/>
  <c r="A29" i="3" s="1"/>
  <c r="I22" i="3"/>
  <c r="H22" i="3"/>
  <c r="G22" i="3"/>
  <c r="F22" i="3"/>
  <c r="E22" i="3"/>
  <c r="D22" i="3"/>
  <c r="L15" i="3"/>
  <c r="K15" i="3"/>
  <c r="J15" i="3"/>
  <c r="I15" i="3"/>
  <c r="H15" i="3"/>
  <c r="G15" i="3"/>
  <c r="F15" i="3"/>
  <c r="E15" i="3"/>
  <c r="D15" i="3"/>
  <c r="V132" i="10" l="1"/>
  <c r="V131" i="10"/>
  <c r="V130" i="10"/>
  <c r="V129" i="10"/>
  <c r="V128" i="10"/>
  <c r="V127" i="10"/>
  <c r="V126" i="10"/>
  <c r="V125" i="10"/>
  <c r="V124" i="10"/>
  <c r="V123" i="10"/>
  <c r="V122" i="10"/>
  <c r="V121" i="10"/>
  <c r="V120" i="10"/>
  <c r="V119" i="10"/>
  <c r="V117" i="10"/>
  <c r="V116" i="10"/>
  <c r="V115" i="10"/>
  <c r="V114" i="10"/>
  <c r="V113" i="10"/>
  <c r="V112" i="10"/>
  <c r="V111" i="10"/>
  <c r="V110" i="10"/>
  <c r="V109" i="10"/>
  <c r="V108" i="10"/>
  <c r="V107" i="10"/>
  <c r="V106" i="10"/>
  <c r="V105" i="10"/>
  <c r="V104" i="10"/>
  <c r="V103" i="10"/>
  <c r="V102" i="10"/>
  <c r="V101" i="10"/>
  <c r="V100" i="10"/>
  <c r="V99" i="10"/>
  <c r="V98" i="10"/>
  <c r="V97" i="10"/>
  <c r="V96" i="10"/>
  <c r="V95" i="10"/>
  <c r="V94" i="10"/>
  <c r="V93" i="10"/>
  <c r="A89" i="10"/>
  <c r="A85" i="10"/>
  <c r="A81" i="10"/>
  <c r="A77" i="10"/>
  <c r="A25" i="10"/>
  <c r="A24" i="10"/>
  <c r="F12" i="10"/>
  <c r="G11" i="10"/>
  <c r="C1" i="10"/>
  <c r="U89" i="10"/>
  <c r="N81" i="10"/>
  <c r="L25" i="10"/>
  <c r="U77" i="10"/>
  <c r="O85" i="10"/>
  <c r="T24" i="10"/>
  <c r="U78" i="10" l="1"/>
  <c r="O86" i="10"/>
  <c r="N82" i="10"/>
  <c r="U90" i="10"/>
  <c r="N50" i="5"/>
  <c r="M51" i="5"/>
  <c r="J51" i="5"/>
  <c r="I51" i="5"/>
  <c r="J50" i="5"/>
  <c r="I50" i="5"/>
  <c r="N46" i="5"/>
  <c r="M46" i="5"/>
  <c r="M47" i="5"/>
  <c r="N47" i="5"/>
  <c r="I47" i="5"/>
  <c r="J46" i="5"/>
  <c r="L48" i="5"/>
  <c r="K49" i="5"/>
  <c r="G45" i="5"/>
  <c r="H44" i="5"/>
  <c r="H49" i="5"/>
  <c r="H48" i="5"/>
  <c r="K45" i="5"/>
  <c r="L45" i="5"/>
  <c r="G48" i="5"/>
  <c r="G49" i="5"/>
  <c r="L44" i="5"/>
  <c r="K44" i="5"/>
  <c r="S24" i="10"/>
  <c r="L81" i="10"/>
  <c r="L82" i="10" l="1"/>
  <c r="H37" i="5"/>
  <c r="I37" i="5"/>
  <c r="J37" i="5"/>
  <c r="I38" i="5"/>
  <c r="J38" i="5"/>
  <c r="H39" i="5"/>
  <c r="J39" i="5"/>
  <c r="L77" i="10"/>
  <c r="U85" i="10"/>
  <c r="P77" i="10"/>
  <c r="R81" i="10"/>
  <c r="K77" i="10"/>
  <c r="J77" i="10"/>
  <c r="O89" i="10"/>
  <c r="G77" i="10"/>
  <c r="T81" i="10"/>
  <c r="T89" i="10"/>
  <c r="I77" i="10"/>
  <c r="G89" i="10"/>
  <c r="L24" i="10"/>
  <c r="S81" i="10"/>
  <c r="O81" i="10"/>
  <c r="R77" i="10"/>
  <c r="L89" i="10"/>
  <c r="Q85" i="10"/>
  <c r="M89" i="10"/>
  <c r="M81" i="10"/>
  <c r="K85" i="10"/>
  <c r="Q77" i="10"/>
  <c r="R89" i="10"/>
  <c r="M85" i="10"/>
  <c r="T25" i="10"/>
  <c r="K81" i="10"/>
  <c r="J81" i="10"/>
  <c r="G85" i="10"/>
  <c r="P85" i="10"/>
  <c r="J25" i="10"/>
  <c r="Q25" i="10"/>
  <c r="U24" i="10"/>
  <c r="S25" i="10"/>
  <c r="T77" i="10"/>
  <c r="T85" i="10"/>
  <c r="J89" i="10"/>
  <c r="P89" i="10"/>
  <c r="U25" i="10"/>
  <c r="S89" i="10"/>
  <c r="N89" i="10"/>
  <c r="R25" i="10"/>
  <c r="R85" i="10"/>
  <c r="J24" i="10"/>
  <c r="S77" i="10"/>
  <c r="N77" i="10"/>
  <c r="J85" i="10"/>
  <c r="Q89" i="10"/>
  <c r="L85" i="10"/>
  <c r="R24" i="10"/>
  <c r="O77" i="10"/>
  <c r="P81" i="10"/>
  <c r="G81" i="10"/>
  <c r="N85" i="10"/>
  <c r="K89" i="10"/>
  <c r="S85" i="10"/>
  <c r="Q81" i="10"/>
  <c r="M77" i="10"/>
  <c r="U81" i="10"/>
  <c r="H77" i="10"/>
  <c r="G90" i="10" l="1"/>
  <c r="M82" i="10"/>
  <c r="S82" i="10"/>
  <c r="I78" i="10"/>
  <c r="R90" i="10"/>
  <c r="R78" i="10"/>
  <c r="M86" i="10"/>
  <c r="P86" i="10"/>
  <c r="G86" i="10"/>
  <c r="Q90" i="10"/>
  <c r="J78" i="10"/>
  <c r="G82" i="10"/>
  <c r="S86" i="10"/>
  <c r="K90" i="10"/>
  <c r="N86" i="10"/>
  <c r="S78" i="10"/>
  <c r="P82" i="10"/>
  <c r="H78" i="10"/>
  <c r="O78" i="10"/>
  <c r="T78" i="10"/>
  <c r="O82" i="10"/>
  <c r="P90" i="10"/>
  <c r="J90" i="10"/>
  <c r="M78" i="10"/>
  <c r="J86" i="10"/>
  <c r="U86" i="10"/>
  <c r="N90" i="10"/>
  <c r="U82" i="10"/>
  <c r="K78" i="10"/>
  <c r="L90" i="10"/>
  <c r="M90" i="10"/>
  <c r="K82" i="10"/>
  <c r="N78" i="10"/>
  <c r="Q86" i="10"/>
  <c r="K86" i="10"/>
  <c r="Q82" i="10"/>
  <c r="T86" i="10"/>
  <c r="T82" i="10"/>
  <c r="P78" i="10"/>
  <c r="L78" i="10"/>
  <c r="Q78" i="10"/>
  <c r="R82" i="10"/>
  <c r="L86" i="10"/>
  <c r="J82" i="10"/>
  <c r="O90" i="10"/>
  <c r="T90" i="10"/>
  <c r="G78" i="10"/>
  <c r="R86" i="10"/>
  <c r="S90" i="10"/>
  <c r="N9" i="9"/>
  <c r="N9" i="3"/>
  <c r="G11" i="8"/>
  <c r="H52" i="1" l="1"/>
  <c r="C73" i="9" l="1"/>
  <c r="C71" i="9"/>
  <c r="L71" i="9" s="1"/>
  <c r="C69" i="9"/>
  <c r="A69" i="9" s="1"/>
  <c r="C67" i="9"/>
  <c r="C61" i="9"/>
  <c r="C60" i="9"/>
  <c r="C59" i="9"/>
  <c r="C58" i="9"/>
  <c r="C57" i="9"/>
  <c r="C56" i="9"/>
  <c r="C51" i="9"/>
  <c r="C50" i="9"/>
  <c r="L50" i="9" s="1"/>
  <c r="P50" i="9" s="1"/>
  <c r="C49" i="9"/>
  <c r="H49" i="9" s="1"/>
  <c r="C48" i="9"/>
  <c r="H48" i="9" s="1"/>
  <c r="C47" i="9"/>
  <c r="H47" i="9" s="1"/>
  <c r="C46" i="9"/>
  <c r="H46" i="9" s="1"/>
  <c r="C41" i="9"/>
  <c r="C40" i="9"/>
  <c r="L40" i="9" s="1"/>
  <c r="R40" i="9" s="1"/>
  <c r="C39" i="9"/>
  <c r="C38" i="9"/>
  <c r="C37" i="9"/>
  <c r="C36" i="9"/>
  <c r="H36" i="9" s="1"/>
  <c r="C31" i="9"/>
  <c r="C30" i="9"/>
  <c r="H30" i="9" s="1"/>
  <c r="C29" i="9"/>
  <c r="C28" i="9"/>
  <c r="C27" i="9"/>
  <c r="A27" i="9" s="1"/>
  <c r="C26" i="9"/>
  <c r="I22" i="9"/>
  <c r="H22" i="9"/>
  <c r="G22" i="9"/>
  <c r="F22" i="9"/>
  <c r="E22" i="9"/>
  <c r="D22" i="9"/>
  <c r="L15" i="9"/>
  <c r="K15" i="9"/>
  <c r="J15" i="9"/>
  <c r="I15" i="9"/>
  <c r="H15" i="9"/>
  <c r="G15" i="9"/>
  <c r="F15" i="9"/>
  <c r="E15" i="9"/>
  <c r="D15" i="9"/>
  <c r="K5" i="9"/>
  <c r="O5" i="9" s="1"/>
  <c r="G7" i="9"/>
  <c r="K4" i="9"/>
  <c r="E4" i="9"/>
  <c r="M3" i="9"/>
  <c r="E2" i="9"/>
  <c r="E3" i="9"/>
  <c r="H40" i="9"/>
  <c r="J40" i="9" s="1"/>
  <c r="C1" i="9"/>
  <c r="C1" i="8"/>
  <c r="C1" i="3"/>
  <c r="C1" i="2"/>
  <c r="B1" i="1"/>
  <c r="F12" i="8"/>
  <c r="M2" i="9" s="1"/>
  <c r="H71" i="9"/>
  <c r="M71" i="9" s="1"/>
  <c r="H73" i="9"/>
  <c r="M73" i="9" s="1"/>
  <c r="L73" i="9"/>
  <c r="L69" i="9"/>
  <c r="H67" i="9"/>
  <c r="M67" i="9" s="1"/>
  <c r="L67" i="9"/>
  <c r="H38" i="9"/>
  <c r="H29" i="9"/>
  <c r="H59" i="9"/>
  <c r="H57" i="9"/>
  <c r="H58" i="9" l="1"/>
  <c r="I58" i="9" s="1"/>
  <c r="H39" i="9"/>
  <c r="I39" i="9" s="1"/>
  <c r="A26" i="9"/>
  <c r="N40" i="9"/>
  <c r="T40" i="9"/>
  <c r="U40" i="9" s="1"/>
  <c r="H56" i="9"/>
  <c r="M56" i="9" s="1"/>
  <c r="R50" i="9"/>
  <c r="H61" i="9"/>
  <c r="I61" i="9" s="1"/>
  <c r="L61" i="9"/>
  <c r="H51" i="9"/>
  <c r="I51" i="9" s="1"/>
  <c r="L51" i="9"/>
  <c r="H69" i="9"/>
  <c r="M69" i="9" s="1"/>
  <c r="N50" i="9"/>
  <c r="L60" i="9"/>
  <c r="H60" i="9"/>
  <c r="I60" i="9" s="1"/>
  <c r="L41" i="9"/>
  <c r="T50" i="9"/>
  <c r="P40" i="9"/>
  <c r="Q40" i="9" s="1"/>
  <c r="A67" i="9"/>
  <c r="F67" i="9"/>
  <c r="J67" i="9"/>
  <c r="I67" i="9"/>
  <c r="F69" i="9"/>
  <c r="F73" i="9"/>
  <c r="I73" i="9"/>
  <c r="J73" i="9"/>
  <c r="F71" i="9"/>
  <c r="J71" i="9"/>
  <c r="I71" i="9"/>
  <c r="G61" i="9"/>
  <c r="G41" i="9"/>
  <c r="G51" i="9"/>
  <c r="G50" i="9"/>
  <c r="G60" i="9"/>
  <c r="G40" i="9"/>
  <c r="K7" i="9"/>
  <c r="G59" i="9"/>
  <c r="L59" i="9" s="1"/>
  <c r="G58" i="9"/>
  <c r="L58" i="9" s="1"/>
  <c r="G46" i="9"/>
  <c r="L46" i="9" s="1"/>
  <c r="G38" i="9"/>
  <c r="J38" i="9" s="1"/>
  <c r="G26" i="9"/>
  <c r="L26" i="9" s="1"/>
  <c r="T26" i="9" s="1"/>
  <c r="G57" i="9"/>
  <c r="L57" i="9" s="1"/>
  <c r="M57" i="9" s="1"/>
  <c r="G56" i="9"/>
  <c r="L56" i="9" s="1"/>
  <c r="G36" i="9"/>
  <c r="L36" i="9" s="1"/>
  <c r="G31" i="9"/>
  <c r="L31" i="9" s="1"/>
  <c r="G49" i="9"/>
  <c r="L49" i="9" s="1"/>
  <c r="G29" i="9"/>
  <c r="L29" i="9" s="1"/>
  <c r="G48" i="9"/>
  <c r="L48" i="9" s="1"/>
  <c r="G28" i="9"/>
  <c r="L28" i="9" s="1"/>
  <c r="G39" i="9"/>
  <c r="G27" i="9"/>
  <c r="L27" i="9" s="1"/>
  <c r="G30" i="9"/>
  <c r="L30" i="9" s="1"/>
  <c r="G47" i="9"/>
  <c r="L47" i="9" s="1"/>
  <c r="G37" i="9"/>
  <c r="L37" i="9" s="1"/>
  <c r="G6" i="9"/>
  <c r="K6" i="9" s="1"/>
  <c r="L38" i="9"/>
  <c r="P38" i="9" s="1"/>
  <c r="Q38" i="9" s="1"/>
  <c r="I59" i="9"/>
  <c r="I57" i="9"/>
  <c r="I47" i="9"/>
  <c r="I49" i="9"/>
  <c r="I48" i="9"/>
  <c r="I46" i="9"/>
  <c r="J59" i="9"/>
  <c r="J47" i="9"/>
  <c r="J46" i="9"/>
  <c r="M47" i="9"/>
  <c r="K47" i="9"/>
  <c r="K49" i="9"/>
  <c r="M59" i="9"/>
  <c r="K48" i="9"/>
  <c r="K46" i="9"/>
  <c r="M46" i="9"/>
  <c r="I40" i="9"/>
  <c r="I38" i="9"/>
  <c r="O40" i="9"/>
  <c r="I36" i="9"/>
  <c r="J36" i="9"/>
  <c r="K38" i="9"/>
  <c r="K36" i="9"/>
  <c r="M36" i="9"/>
  <c r="M40" i="9"/>
  <c r="K40" i="9"/>
  <c r="S40" i="9"/>
  <c r="M30" i="9"/>
  <c r="M29" i="9"/>
  <c r="J30" i="9"/>
  <c r="J29" i="9"/>
  <c r="I30" i="9"/>
  <c r="I29" i="9"/>
  <c r="A71" i="9"/>
  <c r="H50" i="9"/>
  <c r="I50" i="9" s="1"/>
  <c r="O4" i="9"/>
  <c r="K30" i="9"/>
  <c r="A73" i="9"/>
  <c r="H41" i="9"/>
  <c r="J41" i="9" s="1"/>
  <c r="A24" i="8"/>
  <c r="A25" i="8"/>
  <c r="H31" i="9"/>
  <c r="H28" i="9"/>
  <c r="H37" i="9"/>
  <c r="H27" i="9"/>
  <c r="H26" i="9"/>
  <c r="J25" i="8"/>
  <c r="S24" i="8"/>
  <c r="J69" i="9" l="1"/>
  <c r="J26" i="9"/>
  <c r="I26" i="9"/>
  <c r="K26" i="9"/>
  <c r="U26" i="9"/>
  <c r="M60" i="9"/>
  <c r="M61" i="9"/>
  <c r="I56" i="9"/>
  <c r="I62" i="9" s="1"/>
  <c r="J60" i="9"/>
  <c r="J39" i="9"/>
  <c r="J61" i="9"/>
  <c r="J56" i="9"/>
  <c r="K56" i="9"/>
  <c r="J51" i="9"/>
  <c r="K51" i="9"/>
  <c r="T51" i="9"/>
  <c r="U51" i="9" s="1"/>
  <c r="P51" i="9"/>
  <c r="Q51" i="9" s="1"/>
  <c r="R51" i="9"/>
  <c r="S51" i="9" s="1"/>
  <c r="N51" i="9"/>
  <c r="O51" i="9" s="1"/>
  <c r="K60" i="9"/>
  <c r="I69" i="9"/>
  <c r="T41" i="9"/>
  <c r="U41" i="9" s="1"/>
  <c r="P41" i="9"/>
  <c r="Q41" i="9" s="1"/>
  <c r="R41" i="9"/>
  <c r="S41" i="9" s="1"/>
  <c r="N41" i="9"/>
  <c r="H62" i="9"/>
  <c r="M51" i="9"/>
  <c r="P61" i="9"/>
  <c r="Q61" i="9" s="1"/>
  <c r="N61" i="9"/>
  <c r="O61" i="9" s="1"/>
  <c r="R61" i="9"/>
  <c r="S61" i="9" s="1"/>
  <c r="T61" i="9"/>
  <c r="U61" i="9" s="1"/>
  <c r="K61" i="9"/>
  <c r="R60" i="9"/>
  <c r="S60" i="9" s="1"/>
  <c r="P60" i="9"/>
  <c r="Q60" i="9" s="1"/>
  <c r="N60" i="9"/>
  <c r="O60" i="9" s="1"/>
  <c r="T60" i="9"/>
  <c r="U60" i="9" s="1"/>
  <c r="R26" i="9"/>
  <c r="S26" i="9" s="1"/>
  <c r="N26" i="9"/>
  <c r="O26" i="9" s="1"/>
  <c r="R38" i="9"/>
  <c r="S38" i="9" s="1"/>
  <c r="R36" i="9"/>
  <c r="S36" i="9" s="1"/>
  <c r="N36" i="9"/>
  <c r="O36" i="9" s="1"/>
  <c r="P36" i="9"/>
  <c r="Q36" i="9" s="1"/>
  <c r="T36" i="9"/>
  <c r="U36" i="9" s="1"/>
  <c r="P28" i="9"/>
  <c r="Q28" i="9" s="1"/>
  <c r="T28" i="9"/>
  <c r="U28" i="9" s="1"/>
  <c r="R28" i="9"/>
  <c r="S28" i="9" s="1"/>
  <c r="N28" i="9"/>
  <c r="O28" i="9" s="1"/>
  <c r="P26" i="9"/>
  <c r="Q26" i="9" s="1"/>
  <c r="T48" i="9"/>
  <c r="U48" i="9" s="1"/>
  <c r="R48" i="9"/>
  <c r="S48" i="9" s="1"/>
  <c r="N48" i="9"/>
  <c r="O48" i="9" s="1"/>
  <c r="P48" i="9"/>
  <c r="Q48" i="9" s="1"/>
  <c r="N38" i="9"/>
  <c r="O38" i="9" s="1"/>
  <c r="K59" i="9"/>
  <c r="J58" i="9"/>
  <c r="R29" i="9"/>
  <c r="S29" i="9" s="1"/>
  <c r="P29" i="9"/>
  <c r="Q29" i="9" s="1"/>
  <c r="N29" i="9"/>
  <c r="O29" i="9" s="1"/>
  <c r="T29" i="9"/>
  <c r="U29" i="9" s="1"/>
  <c r="L52" i="9"/>
  <c r="P46" i="9"/>
  <c r="R46" i="9"/>
  <c r="N46" i="9"/>
  <c r="T46" i="9"/>
  <c r="T38" i="9"/>
  <c r="U38" i="9" s="1"/>
  <c r="N49" i="9"/>
  <c r="O49" i="9" s="1"/>
  <c r="T49" i="9"/>
  <c r="U49" i="9" s="1"/>
  <c r="P49" i="9"/>
  <c r="Q49" i="9" s="1"/>
  <c r="R49" i="9"/>
  <c r="S49" i="9" s="1"/>
  <c r="M26" i="9"/>
  <c r="M38" i="9"/>
  <c r="K57" i="9"/>
  <c r="J48" i="9"/>
  <c r="J57" i="9"/>
  <c r="T47" i="9"/>
  <c r="U47" i="9" s="1"/>
  <c r="N47" i="9"/>
  <c r="O47" i="9" s="1"/>
  <c r="P47" i="9"/>
  <c r="Q47" i="9" s="1"/>
  <c r="R47" i="9"/>
  <c r="S47" i="9" s="1"/>
  <c r="N31" i="9"/>
  <c r="O31" i="9" s="1"/>
  <c r="R31" i="9"/>
  <c r="S31" i="9" s="1"/>
  <c r="T31" i="9"/>
  <c r="U31" i="9" s="1"/>
  <c r="P31" i="9"/>
  <c r="Q31" i="9" s="1"/>
  <c r="P59" i="9"/>
  <c r="Q59" i="9" s="1"/>
  <c r="N59" i="9"/>
  <c r="O59" i="9" s="1"/>
  <c r="R59" i="9"/>
  <c r="S59" i="9" s="1"/>
  <c r="T59" i="9"/>
  <c r="U59" i="9" s="1"/>
  <c r="T58" i="9"/>
  <c r="U58" i="9" s="1"/>
  <c r="N58" i="9"/>
  <c r="O58" i="9" s="1"/>
  <c r="P58" i="9"/>
  <c r="Q58" i="9" s="1"/>
  <c r="R58" i="9"/>
  <c r="S58" i="9" s="1"/>
  <c r="K58" i="9"/>
  <c r="M48" i="9"/>
  <c r="J49" i="9"/>
  <c r="P30" i="9"/>
  <c r="Q30" i="9" s="1"/>
  <c r="R30" i="9"/>
  <c r="S30" i="9" s="1"/>
  <c r="N30" i="9"/>
  <c r="O30" i="9" s="1"/>
  <c r="T30" i="9"/>
  <c r="U30" i="9" s="1"/>
  <c r="T57" i="9"/>
  <c r="U57" i="9" s="1"/>
  <c r="N57" i="9"/>
  <c r="O57" i="9" s="1"/>
  <c r="R57" i="9"/>
  <c r="S57" i="9" s="1"/>
  <c r="P57" i="9"/>
  <c r="Q57" i="9" s="1"/>
  <c r="M58" i="9"/>
  <c r="M49" i="9"/>
  <c r="P27" i="9"/>
  <c r="Q27" i="9" s="1"/>
  <c r="N27" i="9"/>
  <c r="O27" i="9" s="1"/>
  <c r="T27" i="9"/>
  <c r="U27" i="9" s="1"/>
  <c r="R27" i="9"/>
  <c r="S27" i="9" s="1"/>
  <c r="T56" i="9"/>
  <c r="L62" i="9"/>
  <c r="P56" i="9"/>
  <c r="N56" i="9"/>
  <c r="R56" i="9"/>
  <c r="K71" i="9"/>
  <c r="U50" i="9"/>
  <c r="J50" i="9"/>
  <c r="S50" i="9"/>
  <c r="M50" i="9"/>
  <c r="K50" i="9"/>
  <c r="Q50" i="9"/>
  <c r="O50" i="9"/>
  <c r="J37" i="9"/>
  <c r="I41" i="9"/>
  <c r="I37" i="9"/>
  <c r="T37" i="9"/>
  <c r="U37" i="9" s="1"/>
  <c r="R37" i="9"/>
  <c r="S37" i="9" s="1"/>
  <c r="P37" i="9"/>
  <c r="Q37" i="9" s="1"/>
  <c r="N37" i="9"/>
  <c r="M37" i="9"/>
  <c r="K37" i="9"/>
  <c r="K41" i="9"/>
  <c r="M41" i="9"/>
  <c r="O41" i="9"/>
  <c r="M31" i="9"/>
  <c r="M28" i="9"/>
  <c r="M27" i="9"/>
  <c r="J31" i="9"/>
  <c r="J28" i="9"/>
  <c r="J27" i="9"/>
  <c r="I31" i="9"/>
  <c r="I28" i="9"/>
  <c r="I27" i="9"/>
  <c r="I52" i="9"/>
  <c r="H52" i="9"/>
  <c r="K28" i="9"/>
  <c r="K73" i="9"/>
  <c r="K31" i="9"/>
  <c r="K67" i="9"/>
  <c r="H42" i="9"/>
  <c r="K27" i="9"/>
  <c r="H32" i="9"/>
  <c r="G32" i="9"/>
  <c r="G52" i="9"/>
  <c r="K29" i="9"/>
  <c r="K69" i="9"/>
  <c r="R24" i="8"/>
  <c r="L25" i="8"/>
  <c r="T24" i="8"/>
  <c r="Q25" i="8"/>
  <c r="R25" i="8"/>
  <c r="T25" i="8"/>
  <c r="U25" i="8"/>
  <c r="J24" i="8"/>
  <c r="L24" i="8"/>
  <c r="S25" i="8"/>
  <c r="H24" i="8"/>
  <c r="U24" i="8"/>
  <c r="M62" i="9" l="1"/>
  <c r="K52" i="9"/>
  <c r="K62" i="9"/>
  <c r="M52" i="9"/>
  <c r="R62" i="9"/>
  <c r="S56" i="9"/>
  <c r="S62" i="9" s="1"/>
  <c r="U46" i="9"/>
  <c r="U52" i="9" s="1"/>
  <c r="T52" i="9"/>
  <c r="P62" i="9"/>
  <c r="Q56" i="9"/>
  <c r="Q62" i="9" s="1"/>
  <c r="S46" i="9"/>
  <c r="S52" i="9" s="1"/>
  <c r="R52" i="9"/>
  <c r="P52" i="9"/>
  <c r="Q46" i="9"/>
  <c r="Q52" i="9" s="1"/>
  <c r="N62" i="9"/>
  <c r="O56" i="9"/>
  <c r="O62" i="9" s="1"/>
  <c r="O46" i="9"/>
  <c r="O52" i="9" s="1"/>
  <c r="N52" i="9"/>
  <c r="U56" i="9"/>
  <c r="U62" i="9" s="1"/>
  <c r="T62" i="9"/>
  <c r="S10" i="9"/>
  <c r="S11" i="9"/>
  <c r="L39" i="9"/>
  <c r="K39" i="9"/>
  <c r="K42" i="9" s="1"/>
  <c r="O37" i="9"/>
  <c r="I32" i="9"/>
  <c r="J52" i="9"/>
  <c r="K32" i="9"/>
  <c r="J32" i="9"/>
  <c r="I42" i="9"/>
  <c r="G62" i="9"/>
  <c r="J62" i="9"/>
  <c r="J42" i="9"/>
  <c r="G42" i="9"/>
  <c r="L32" i="9"/>
  <c r="M32" i="9"/>
  <c r="R39" i="9" l="1"/>
  <c r="P39" i="9"/>
  <c r="T39" i="9"/>
  <c r="N39" i="9"/>
  <c r="M39" i="9"/>
  <c r="M42" i="9" s="1"/>
  <c r="L42" i="9"/>
  <c r="S7" i="9"/>
  <c r="Q32" i="9"/>
  <c r="P32" i="9"/>
  <c r="O32" i="9"/>
  <c r="N32" i="9"/>
  <c r="U32" i="9"/>
  <c r="T32" i="9"/>
  <c r="S32" i="9"/>
  <c r="R32" i="9"/>
  <c r="A75" i="8"/>
  <c r="G75" i="8"/>
  <c r="U39" i="9" l="1"/>
  <c r="U42" i="9" s="1"/>
  <c r="T42" i="9"/>
  <c r="Q39" i="9"/>
  <c r="Q42" i="9" s="1"/>
  <c r="P42" i="9"/>
  <c r="S39" i="9"/>
  <c r="S42" i="9" s="1"/>
  <c r="R42" i="9"/>
  <c r="O39" i="9"/>
  <c r="O42" i="9" s="1"/>
  <c r="N42" i="9"/>
  <c r="S8" i="9"/>
  <c r="G76" i="8"/>
  <c r="A79" i="8"/>
  <c r="N75" i="8"/>
  <c r="H75" i="8"/>
  <c r="P75" i="8"/>
  <c r="Q75" i="8"/>
  <c r="O75" i="8"/>
  <c r="R75" i="8"/>
  <c r="M75" i="8"/>
  <c r="G79" i="8"/>
  <c r="T75" i="8"/>
  <c r="S75" i="8"/>
  <c r="I75" i="8"/>
  <c r="K75" i="8"/>
  <c r="J75" i="8"/>
  <c r="U75" i="8"/>
  <c r="L75" i="8"/>
  <c r="M76" i="8" l="1"/>
  <c r="S76" i="8"/>
  <c r="U76" i="8"/>
  <c r="P76" i="8"/>
  <c r="T76" i="8"/>
  <c r="R76" i="8"/>
  <c r="J76" i="8"/>
  <c r="K76" i="8"/>
  <c r="H76" i="8"/>
  <c r="I76" i="8"/>
  <c r="O76" i="8"/>
  <c r="Q76" i="8"/>
  <c r="N76" i="8"/>
  <c r="L76" i="8"/>
  <c r="G80" i="8"/>
  <c r="A83" i="8"/>
  <c r="O79" i="8"/>
  <c r="K79" i="8"/>
  <c r="J79" i="8"/>
  <c r="R79" i="8"/>
  <c r="S79" i="8"/>
  <c r="N79" i="8"/>
  <c r="Q79" i="8"/>
  <c r="T79" i="8"/>
  <c r="H79" i="8"/>
  <c r="P79" i="8"/>
  <c r="O83" i="8"/>
  <c r="M79" i="8"/>
  <c r="U79" i="8"/>
  <c r="I79" i="8"/>
  <c r="L79" i="8"/>
  <c r="R80" i="8" l="1"/>
  <c r="L80" i="8"/>
  <c r="O80" i="8"/>
  <c r="U80" i="8"/>
  <c r="Q80" i="8"/>
  <c r="J80" i="8"/>
  <c r="N80" i="8"/>
  <c r="P80" i="8"/>
  <c r="H80" i="8"/>
  <c r="M80" i="8"/>
  <c r="I80" i="8"/>
  <c r="S80" i="8"/>
  <c r="K80" i="8"/>
  <c r="T80" i="8"/>
  <c r="O84" i="8"/>
  <c r="A87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U83" i="8"/>
  <c r="K83" i="8"/>
  <c r="T83" i="8"/>
  <c r="S83" i="8"/>
  <c r="H83" i="8"/>
  <c r="I83" i="8"/>
  <c r="G83" i="8"/>
  <c r="J83" i="8"/>
  <c r="L87" i="8"/>
  <c r="R83" i="8"/>
  <c r="L83" i="8"/>
  <c r="Q83" i="8"/>
  <c r="P83" i="8"/>
  <c r="M83" i="8"/>
  <c r="N83" i="8"/>
  <c r="T84" i="8" l="1"/>
  <c r="P84" i="8"/>
  <c r="N84" i="8"/>
  <c r="Q84" i="8"/>
  <c r="R84" i="8"/>
  <c r="I84" i="8"/>
  <c r="G84" i="8"/>
  <c r="M84" i="8"/>
  <c r="K84" i="8"/>
  <c r="L84" i="8"/>
  <c r="H84" i="8"/>
  <c r="S84" i="8"/>
  <c r="J84" i="8"/>
  <c r="U84" i="8"/>
  <c r="L88" i="8"/>
  <c r="F17" i="5"/>
  <c r="G17" i="5" s="1"/>
  <c r="H14" i="5"/>
  <c r="I14" i="5" s="1"/>
  <c r="G14" i="5"/>
  <c r="E14" i="5"/>
  <c r="H49" i="1"/>
  <c r="J49" i="1" s="1"/>
  <c r="H48" i="1"/>
  <c r="J48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F49" i="1"/>
  <c r="F48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AC50" i="1"/>
  <c r="AC49" i="1"/>
  <c r="AC48" i="1"/>
  <c r="P40" i="1"/>
  <c r="P39" i="1"/>
  <c r="P38" i="1"/>
  <c r="P37" i="1"/>
  <c r="P36" i="1"/>
  <c r="P35" i="1"/>
  <c r="N40" i="1"/>
  <c r="N39" i="1"/>
  <c r="N38" i="1"/>
  <c r="N37" i="1"/>
  <c r="N36" i="1"/>
  <c r="N35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5" i="1"/>
  <c r="AC3" i="1"/>
  <c r="J6" i="1"/>
  <c r="H85" i="10"/>
  <c r="H24" i="10"/>
  <c r="H89" i="10"/>
  <c r="I87" i="8"/>
  <c r="I85" i="10"/>
  <c r="Q87" i="8"/>
  <c r="P87" i="8"/>
  <c r="U87" i="8"/>
  <c r="M87" i="8"/>
  <c r="N87" i="8"/>
  <c r="I81" i="10"/>
  <c r="H81" i="10"/>
  <c r="H87" i="8"/>
  <c r="I89" i="10"/>
  <c r="G87" i="8"/>
  <c r="R87" i="8"/>
  <c r="J87" i="8"/>
  <c r="T87" i="8"/>
  <c r="K87" i="8"/>
  <c r="S87" i="8"/>
  <c r="O87" i="8"/>
  <c r="Q88" i="8" l="1"/>
  <c r="E19" i="9" s="1"/>
  <c r="J88" i="8"/>
  <c r="K12" i="9" s="1"/>
  <c r="U88" i="8"/>
  <c r="I19" i="9" s="1"/>
  <c r="T88" i="8"/>
  <c r="H19" i="9" s="1"/>
  <c r="H88" i="8"/>
  <c r="E12" i="9" s="1"/>
  <c r="S88" i="8"/>
  <c r="G19" i="9" s="1"/>
  <c r="R88" i="8"/>
  <c r="F19" i="9" s="1"/>
  <c r="N88" i="8"/>
  <c r="H12" i="9" s="1"/>
  <c r="O88" i="8"/>
  <c r="I12" i="9" s="1"/>
  <c r="K88" i="8"/>
  <c r="L12" i="9" s="1"/>
  <c r="G88" i="8"/>
  <c r="D12" i="9" s="1"/>
  <c r="I88" i="8"/>
  <c r="F12" i="9" s="1"/>
  <c r="H90" i="10"/>
  <c r="H86" i="10"/>
  <c r="H82" i="10"/>
  <c r="I86" i="10"/>
  <c r="I90" i="10"/>
  <c r="I82" i="10"/>
  <c r="M88" i="8"/>
  <c r="G12" i="9" s="1"/>
  <c r="I39" i="1"/>
  <c r="I40" i="1"/>
  <c r="I35" i="1"/>
  <c r="I36" i="1"/>
  <c r="I38" i="1"/>
  <c r="I49" i="1"/>
  <c r="I48" i="1"/>
  <c r="I37" i="1"/>
  <c r="P88" i="8"/>
  <c r="J12" i="9" s="1"/>
  <c r="D19" i="9"/>
  <c r="J14" i="5"/>
  <c r="V110" i="2"/>
  <c r="V121" i="2"/>
  <c r="P79" i="2"/>
  <c r="C26" i="3" l="1"/>
  <c r="A26" i="3" s="1"/>
  <c r="C27" i="3"/>
  <c r="A27" i="3" s="1"/>
  <c r="C40" i="3"/>
  <c r="A40" i="3" s="1"/>
  <c r="C73" i="3"/>
  <c r="A73" i="3" s="1"/>
  <c r="C75" i="3"/>
  <c r="A75" i="3" s="1"/>
  <c r="C77" i="3"/>
  <c r="A77" i="3" s="1"/>
  <c r="I79" i="2"/>
  <c r="O79" i="2"/>
  <c r="U79" i="2"/>
  <c r="T79" i="2"/>
  <c r="H79" i="2"/>
  <c r="Q79" i="2"/>
  <c r="M79" i="2"/>
  <c r="G79" i="2"/>
  <c r="S79" i="2"/>
  <c r="R79" i="2"/>
  <c r="K79" i="2"/>
  <c r="J79" i="2"/>
  <c r="N79" i="2"/>
  <c r="L79" i="2"/>
  <c r="G80" i="2" l="1"/>
  <c r="S54" i="2"/>
  <c r="M87" i="2"/>
  <c r="I91" i="2"/>
  <c r="L91" i="2"/>
  <c r="Q54" i="2"/>
  <c r="S91" i="2"/>
  <c r="T24" i="2"/>
  <c r="J91" i="2"/>
  <c r="S87" i="2"/>
  <c r="G83" i="2"/>
  <c r="K91" i="2"/>
  <c r="I83" i="2"/>
  <c r="U24" i="2"/>
  <c r="O83" i="2"/>
  <c r="T91" i="2"/>
  <c r="H42" i="2"/>
  <c r="R24" i="2"/>
  <c r="U87" i="2"/>
  <c r="R41" i="2"/>
  <c r="L41" i="2"/>
  <c r="R25" i="2"/>
  <c r="T41" i="2"/>
  <c r="Q83" i="2"/>
  <c r="M83" i="2"/>
  <c r="U91" i="2"/>
  <c r="N91" i="2"/>
  <c r="R54" i="2"/>
  <c r="J41" i="2"/>
  <c r="R91" i="2"/>
  <c r="K87" i="2"/>
  <c r="N83" i="2"/>
  <c r="J24" i="2"/>
  <c r="T42" i="2"/>
  <c r="S41" i="2"/>
  <c r="S42" i="2"/>
  <c r="U54" i="2"/>
  <c r="G87" i="2"/>
  <c r="J25" i="2"/>
  <c r="Q41" i="2"/>
  <c r="K83" i="2"/>
  <c r="Q87" i="2"/>
  <c r="T87" i="2"/>
  <c r="L25" i="2"/>
  <c r="L87" i="2"/>
  <c r="O87" i="2"/>
  <c r="L83" i="2"/>
  <c r="R83" i="2"/>
  <c r="J83" i="2"/>
  <c r="U41" i="2"/>
  <c r="U42" i="2"/>
  <c r="T83" i="2"/>
  <c r="P87" i="2"/>
  <c r="H91" i="2"/>
  <c r="S24" i="2"/>
  <c r="P91" i="2"/>
  <c r="J87" i="2"/>
  <c r="O91" i="2"/>
  <c r="L42" i="2"/>
  <c r="G91" i="2"/>
  <c r="N87" i="2"/>
  <c r="S83" i="2"/>
  <c r="H87" i="2"/>
  <c r="L54" i="2"/>
  <c r="T54" i="2"/>
  <c r="H83" i="2"/>
  <c r="R87" i="2"/>
  <c r="P83" i="2"/>
  <c r="I87" i="2"/>
  <c r="L24" i="2"/>
  <c r="Q91" i="2"/>
  <c r="U83" i="2"/>
  <c r="M91" i="2"/>
  <c r="F11" i="1" l="1"/>
  <c r="F10" i="1"/>
  <c r="F9" i="1"/>
  <c r="F8" i="1"/>
  <c r="F7" i="1"/>
  <c r="F6" i="1"/>
  <c r="F40" i="1"/>
  <c r="G40" i="1" s="1"/>
  <c r="F39" i="1"/>
  <c r="G39" i="1" s="1"/>
  <c r="F27" i="1"/>
  <c r="F26" i="1"/>
  <c r="F25" i="1"/>
  <c r="S25" i="2"/>
  <c r="T25" i="2"/>
  <c r="H25" i="2"/>
  <c r="U25" i="2"/>
  <c r="G6" i="1" l="1"/>
  <c r="H6" i="1"/>
  <c r="G7" i="1"/>
  <c r="H7" i="1"/>
  <c r="G8" i="1"/>
  <c r="H8" i="1"/>
  <c r="G9" i="1"/>
  <c r="H9" i="1"/>
  <c r="G10" i="1"/>
  <c r="H10" i="1"/>
  <c r="G11" i="1"/>
  <c r="H11" i="1"/>
  <c r="G26" i="1"/>
  <c r="H26" i="1"/>
  <c r="G27" i="1"/>
  <c r="H27" i="1"/>
  <c r="G25" i="1"/>
  <c r="H25" i="1"/>
  <c r="F38" i="1"/>
  <c r="G38" i="1" s="1"/>
  <c r="J7" i="1" l="1"/>
  <c r="I7" i="1"/>
  <c r="J9" i="1"/>
  <c r="I9" i="1"/>
  <c r="I11" i="1"/>
  <c r="J11" i="1"/>
  <c r="J10" i="1"/>
  <c r="I10" i="1"/>
  <c r="J8" i="1"/>
  <c r="I8" i="1"/>
  <c r="I27" i="1"/>
  <c r="J27" i="1"/>
  <c r="J26" i="1"/>
  <c r="I26" i="1"/>
  <c r="J25" i="1"/>
  <c r="I25" i="1"/>
  <c r="F37" i="1"/>
  <c r="G37" i="1" s="1"/>
  <c r="V95" i="2" l="1"/>
  <c r="K5" i="3"/>
  <c r="K4" i="3"/>
  <c r="J4" i="1"/>
  <c r="H4" i="1"/>
  <c r="F4" i="1"/>
  <c r="G4" i="1" s="1"/>
  <c r="I40" i="5"/>
  <c r="H40" i="5"/>
  <c r="G40" i="5"/>
  <c r="G39" i="5"/>
  <c r="G38" i="5"/>
  <c r="J30" i="5"/>
  <c r="H30" i="5"/>
  <c r="J26" i="5"/>
  <c r="H26" i="5"/>
  <c r="G49" i="1" l="1"/>
  <c r="G48" i="1"/>
  <c r="V140" i="2" l="1"/>
  <c r="V139" i="2"/>
  <c r="E3" i="3"/>
  <c r="E2" i="3"/>
  <c r="C71" i="3"/>
  <c r="A71" i="3" s="1"/>
  <c r="H77" i="3"/>
  <c r="H75" i="3"/>
  <c r="H73" i="3"/>
  <c r="H71" i="3" l="1"/>
  <c r="I71" i="3" s="1"/>
  <c r="I77" i="3"/>
  <c r="I73" i="3"/>
  <c r="I75" i="3"/>
  <c r="C65" i="3"/>
  <c r="A65" i="3" s="1"/>
  <c r="C64" i="3"/>
  <c r="A64" i="3" s="1"/>
  <c r="C63" i="3"/>
  <c r="A63" i="3" s="1"/>
  <c r="C62" i="3"/>
  <c r="A62" i="3" s="1"/>
  <c r="C61" i="3"/>
  <c r="A61" i="3" s="1"/>
  <c r="C60" i="3"/>
  <c r="A60" i="3" s="1"/>
  <c r="C55" i="3"/>
  <c r="A55" i="3" s="1"/>
  <c r="C54" i="3"/>
  <c r="A54" i="3" s="1"/>
  <c r="C53" i="3"/>
  <c r="A53" i="3" s="1"/>
  <c r="C52" i="3"/>
  <c r="A52" i="3" s="1"/>
  <c r="C51" i="3"/>
  <c r="A51" i="3" s="1"/>
  <c r="C50" i="3"/>
  <c r="A50" i="3" s="1"/>
  <c r="C45" i="3" l="1"/>
  <c r="A45" i="3" s="1"/>
  <c r="C44" i="3"/>
  <c r="A44" i="3" s="1"/>
  <c r="C43" i="3"/>
  <c r="A43" i="3" s="1"/>
  <c r="C42" i="3"/>
  <c r="A42" i="3" s="1"/>
  <c r="C41" i="3"/>
  <c r="A41" i="3" s="1"/>
  <c r="U93" i="2" l="1"/>
  <c r="U92" i="2"/>
  <c r="T93" i="2"/>
  <c r="T92" i="2"/>
  <c r="S93" i="2"/>
  <c r="S92" i="2"/>
  <c r="R93" i="2"/>
  <c r="R92" i="2"/>
  <c r="Q93" i="2"/>
  <c r="Q92" i="2"/>
  <c r="P93" i="2"/>
  <c r="P92" i="2"/>
  <c r="O93" i="2"/>
  <c r="O92" i="2"/>
  <c r="N93" i="2"/>
  <c r="N92" i="2"/>
  <c r="M93" i="2"/>
  <c r="M92" i="2"/>
  <c r="L93" i="2"/>
  <c r="L92" i="2"/>
  <c r="K93" i="2"/>
  <c r="K92" i="2"/>
  <c r="J93" i="2"/>
  <c r="J92" i="2"/>
  <c r="I93" i="2"/>
  <c r="I92" i="2"/>
  <c r="H93" i="2"/>
  <c r="H92" i="2"/>
  <c r="G93" i="2"/>
  <c r="G92" i="2"/>
  <c r="U88" i="2"/>
  <c r="U89" i="2"/>
  <c r="T89" i="2"/>
  <c r="T88" i="2"/>
  <c r="S88" i="2"/>
  <c r="S89" i="2"/>
  <c r="R89" i="2"/>
  <c r="R88" i="2"/>
  <c r="Q88" i="2"/>
  <c r="Q89" i="2"/>
  <c r="P89" i="2"/>
  <c r="P88" i="2"/>
  <c r="O88" i="2"/>
  <c r="O89" i="2"/>
  <c r="N89" i="2"/>
  <c r="N88" i="2"/>
  <c r="M88" i="2"/>
  <c r="M89" i="2"/>
  <c r="L89" i="2"/>
  <c r="L88" i="2"/>
  <c r="K88" i="2"/>
  <c r="K89" i="2"/>
  <c r="J89" i="2"/>
  <c r="J88" i="2"/>
  <c r="I88" i="2"/>
  <c r="I89" i="2"/>
  <c r="H89" i="2"/>
  <c r="H88" i="2"/>
  <c r="G88" i="2"/>
  <c r="G89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R80" i="2"/>
  <c r="N80" i="2"/>
  <c r="J80" i="2"/>
  <c r="H80" i="2"/>
  <c r="U80" i="2"/>
  <c r="Q80" i="2"/>
  <c r="M80" i="2"/>
  <c r="I80" i="2"/>
  <c r="T80" i="2"/>
  <c r="P80" i="2"/>
  <c r="L80" i="2"/>
  <c r="S80" i="2"/>
  <c r="O80" i="2"/>
  <c r="K80" i="2"/>
  <c r="H44" i="3"/>
  <c r="H45" i="3"/>
  <c r="H43" i="3"/>
  <c r="H41" i="3"/>
  <c r="H42" i="3"/>
  <c r="I19" i="3" l="1"/>
  <c r="H19" i="3"/>
  <c r="G19" i="3"/>
  <c r="F19" i="3"/>
  <c r="E19" i="3"/>
  <c r="D19" i="3"/>
  <c r="I12" i="3"/>
  <c r="H12" i="3"/>
  <c r="F12" i="3"/>
  <c r="G12" i="3"/>
  <c r="E12" i="3"/>
  <c r="D12" i="3"/>
  <c r="L12" i="3"/>
  <c r="J12" i="3"/>
  <c r="K12" i="3"/>
  <c r="I41" i="3"/>
  <c r="I42" i="3"/>
  <c r="I43" i="3"/>
  <c r="I45" i="3"/>
  <c r="I44" i="3"/>
  <c r="G81" i="2" l="1"/>
  <c r="T81" i="2"/>
  <c r="R81" i="2"/>
  <c r="P81" i="2"/>
  <c r="N81" i="2"/>
  <c r="L81" i="2"/>
  <c r="J81" i="2"/>
  <c r="H81" i="2"/>
  <c r="I81" i="2"/>
  <c r="U81" i="2"/>
  <c r="S81" i="2"/>
  <c r="Q81" i="2"/>
  <c r="O81" i="2"/>
  <c r="M81" i="2"/>
  <c r="K81" i="2"/>
  <c r="H63" i="3" l="1"/>
  <c r="I63" i="3" l="1"/>
  <c r="H62" i="3"/>
  <c r="I62" i="3" l="1"/>
  <c r="H61" i="3"/>
  <c r="I61" i="3" l="1"/>
  <c r="H60" i="3"/>
  <c r="I60" i="3" l="1"/>
  <c r="V142" i="2"/>
  <c r="V141" i="2"/>
  <c r="V138" i="2"/>
  <c r="V137" i="2"/>
  <c r="V135" i="2"/>
  <c r="V134" i="2"/>
  <c r="V133" i="2"/>
  <c r="V132" i="2"/>
  <c r="V131" i="2"/>
  <c r="V127" i="2"/>
  <c r="V126" i="2"/>
  <c r="V120" i="2"/>
  <c r="V119" i="2"/>
  <c r="V118" i="2"/>
  <c r="V117" i="2"/>
  <c r="V116" i="2"/>
  <c r="V115" i="2"/>
  <c r="V114" i="2"/>
  <c r="V113" i="2"/>
  <c r="V112" i="2"/>
  <c r="V108" i="2"/>
  <c r="V107" i="2"/>
  <c r="V106" i="2"/>
  <c r="V105" i="2"/>
  <c r="V104" i="2"/>
  <c r="V103" i="2"/>
  <c r="V102" i="2"/>
  <c r="V101" i="2"/>
  <c r="H40" i="3"/>
  <c r="H46" i="3" l="1"/>
  <c r="I40" i="3"/>
  <c r="I46" i="3" s="1"/>
  <c r="V100" i="2"/>
  <c r="V99" i="2"/>
  <c r="V98" i="2"/>
  <c r="H55" i="3"/>
  <c r="H54" i="3"/>
  <c r="H53" i="3"/>
  <c r="H52" i="3"/>
  <c r="H50" i="3"/>
  <c r="H51" i="3"/>
  <c r="I53" i="3" l="1"/>
  <c r="I52" i="3"/>
  <c r="I50" i="3"/>
  <c r="H56" i="3"/>
  <c r="I54" i="3"/>
  <c r="I51" i="3"/>
  <c r="I55" i="3"/>
  <c r="V129" i="2"/>
  <c r="I56" i="3" l="1"/>
  <c r="C28" i="3"/>
  <c r="A28" i="3" s="1"/>
  <c r="E4" i="3"/>
  <c r="V97" i="2"/>
  <c r="O4" i="3" l="1"/>
  <c r="O5" i="3"/>
  <c r="H34" i="3"/>
  <c r="H33" i="3"/>
  <c r="H35" i="3"/>
  <c r="H27" i="3"/>
  <c r="H26" i="3"/>
  <c r="I35" i="3" l="1"/>
  <c r="I34" i="3"/>
  <c r="I33" i="3"/>
  <c r="I27" i="3"/>
  <c r="I26" i="3"/>
  <c r="V96" i="2" l="1"/>
  <c r="F3" i="1" l="1"/>
  <c r="F24" i="1"/>
  <c r="F22" i="1"/>
  <c r="F30" i="1"/>
  <c r="F28" i="1"/>
  <c r="F36" i="1"/>
  <c r="G36" i="1" s="1"/>
  <c r="F35" i="1"/>
  <c r="G35" i="1" s="1"/>
  <c r="F20" i="1"/>
  <c r="F29" i="1"/>
  <c r="F19" i="1"/>
  <c r="F32" i="1"/>
  <c r="F33" i="1"/>
  <c r="F31" i="1"/>
  <c r="H31" i="1" s="1"/>
  <c r="F23" i="1"/>
  <c r="F18" i="1"/>
  <c r="F21" i="1"/>
  <c r="F16" i="1"/>
  <c r="F17" i="1"/>
  <c r="F12" i="1"/>
  <c r="H12" i="1" s="1"/>
  <c r="F15" i="1"/>
  <c r="F13" i="1"/>
  <c r="F14" i="1"/>
  <c r="I54" i="2"/>
  <c r="N25" i="2"/>
  <c r="H41" i="2"/>
  <c r="I24" i="2"/>
  <c r="P42" i="2"/>
  <c r="M42" i="2"/>
  <c r="K41" i="2"/>
  <c r="M24" i="2"/>
  <c r="N42" i="2"/>
  <c r="I41" i="2"/>
  <c r="K25" i="2"/>
  <c r="K24" i="2"/>
  <c r="K54" i="2"/>
  <c r="Q42" i="2"/>
  <c r="O24" i="2"/>
  <c r="P54" i="2"/>
  <c r="M25" i="2"/>
  <c r="Q24" i="2"/>
  <c r="J42" i="2"/>
  <c r="I25" i="2"/>
  <c r="I42" i="2"/>
  <c r="O42" i="2"/>
  <c r="M54" i="2"/>
  <c r="O25" i="2"/>
  <c r="G25" i="2"/>
  <c r="G41" i="2"/>
  <c r="Q25" i="2"/>
  <c r="P41" i="2"/>
  <c r="H24" i="2"/>
  <c r="J54" i="2"/>
  <c r="G54" i="2"/>
  <c r="N24" i="2"/>
  <c r="K42" i="2"/>
  <c r="H54" i="2"/>
  <c r="O54" i="2"/>
  <c r="P24" i="2"/>
  <c r="O41" i="2"/>
  <c r="N54" i="2"/>
  <c r="G24" i="2"/>
  <c r="G42" i="2"/>
  <c r="R42" i="2"/>
  <c r="N41" i="2"/>
  <c r="M41" i="2"/>
  <c r="P25" i="2"/>
  <c r="G21" i="1" l="1"/>
  <c r="H21" i="1"/>
  <c r="G20" i="1"/>
  <c r="H20" i="1"/>
  <c r="G18" i="1"/>
  <c r="H18" i="1"/>
  <c r="G14" i="1"/>
  <c r="H14" i="1"/>
  <c r="G13" i="1"/>
  <c r="H13" i="1"/>
  <c r="J31" i="1"/>
  <c r="I31" i="1"/>
  <c r="G15" i="1"/>
  <c r="H15" i="1"/>
  <c r="G33" i="1"/>
  <c r="H33" i="1"/>
  <c r="G30" i="1"/>
  <c r="H30" i="1"/>
  <c r="J12" i="1"/>
  <c r="I12" i="1"/>
  <c r="G32" i="1"/>
  <c r="H32" i="1"/>
  <c r="G17" i="1"/>
  <c r="H17" i="1"/>
  <c r="G19" i="1"/>
  <c r="H19" i="1"/>
  <c r="G29" i="1"/>
  <c r="H29" i="1"/>
  <c r="G28" i="1"/>
  <c r="H28" i="1"/>
  <c r="G22" i="1"/>
  <c r="H22" i="1"/>
  <c r="H5" i="1"/>
  <c r="H3" i="1"/>
  <c r="G23" i="1"/>
  <c r="H23" i="1"/>
  <c r="G24" i="1"/>
  <c r="H24" i="1"/>
  <c r="G16" i="1"/>
  <c r="H16" i="1"/>
  <c r="G3" i="1"/>
  <c r="G31" i="1"/>
  <c r="G12" i="1"/>
  <c r="G5" i="1"/>
  <c r="M25" i="10"/>
  <c r="P25" i="8"/>
  <c r="O24" i="8"/>
  <c r="I25" i="10"/>
  <c r="G24" i="8"/>
  <c r="M24" i="8"/>
  <c r="Q24" i="8"/>
  <c r="K25" i="8"/>
  <c r="N24" i="10"/>
  <c r="K25" i="10"/>
  <c r="N25" i="8"/>
  <c r="O24" i="10"/>
  <c r="I25" i="8"/>
  <c r="G24" i="10"/>
  <c r="I24" i="8"/>
  <c r="P24" i="8"/>
  <c r="K24" i="10"/>
  <c r="G25" i="8"/>
  <c r="K24" i="8"/>
  <c r="P25" i="10"/>
  <c r="H25" i="8"/>
  <c r="P24" i="10"/>
  <c r="G25" i="10"/>
  <c r="H25" i="10"/>
  <c r="M24" i="10"/>
  <c r="Q24" i="10"/>
  <c r="N25" i="10"/>
  <c r="N24" i="8"/>
  <c r="I24" i="10"/>
  <c r="M25" i="8"/>
  <c r="O25" i="8"/>
  <c r="O25" i="10"/>
  <c r="J17" i="1" l="1"/>
  <c r="I17" i="1"/>
  <c r="J33" i="1"/>
  <c r="I33" i="1"/>
  <c r="J14" i="1"/>
  <c r="I14" i="1"/>
  <c r="J3" i="1"/>
  <c r="J16" i="1"/>
  <c r="I16" i="1"/>
  <c r="J18" i="1"/>
  <c r="I18" i="1"/>
  <c r="J29" i="1"/>
  <c r="I29" i="1"/>
  <c r="J20" i="1"/>
  <c r="I20" i="1"/>
  <c r="J32" i="1"/>
  <c r="I32" i="1"/>
  <c r="J15" i="1"/>
  <c r="I15" i="1"/>
  <c r="J19" i="1"/>
  <c r="I19" i="1"/>
  <c r="J30" i="1"/>
  <c r="I30" i="1"/>
  <c r="J13" i="1"/>
  <c r="I13" i="1"/>
  <c r="J21" i="1"/>
  <c r="I21" i="1"/>
  <c r="J28" i="1"/>
  <c r="I28" i="1"/>
  <c r="J24" i="1"/>
  <c r="I24" i="1"/>
  <c r="J23" i="1"/>
  <c r="I23" i="1"/>
  <c r="J22" i="1"/>
  <c r="I22" i="1"/>
  <c r="J5" i="1"/>
  <c r="I5" i="1"/>
  <c r="I3" i="1"/>
  <c r="F12" i="2" l="1"/>
  <c r="M2" i="3" s="1"/>
  <c r="G11" i="2"/>
  <c r="F34" i="3" l="1"/>
  <c r="F32" i="3"/>
  <c r="G32" i="3" s="1"/>
  <c r="L32" i="3" s="1"/>
  <c r="F35" i="3"/>
  <c r="G35" i="3" s="1"/>
  <c r="L35" i="3" s="1"/>
  <c r="F33" i="3"/>
  <c r="G33" i="3" s="1"/>
  <c r="F29" i="3"/>
  <c r="G29" i="3" s="1"/>
  <c r="L29" i="3" s="1"/>
  <c r="F31" i="3"/>
  <c r="G31" i="3" s="1"/>
  <c r="L31" i="3" s="1"/>
  <c r="F30" i="3"/>
  <c r="G30" i="3" s="1"/>
  <c r="L30" i="3" s="1"/>
  <c r="M3" i="3"/>
  <c r="G6" i="3" s="1"/>
  <c r="K6" i="3" s="1"/>
  <c r="F71" i="3"/>
  <c r="F77" i="3"/>
  <c r="F73" i="3"/>
  <c r="F75" i="3"/>
  <c r="F27" i="3"/>
  <c r="G27" i="3" s="1"/>
  <c r="F26" i="3"/>
  <c r="G26" i="3" s="1"/>
  <c r="F53" i="3"/>
  <c r="G53" i="3" s="1"/>
  <c r="F61" i="3"/>
  <c r="G61" i="3" s="1"/>
  <c r="F65" i="3"/>
  <c r="G65" i="3" s="1"/>
  <c r="F52" i="3"/>
  <c r="G52" i="3" s="1"/>
  <c r="F60" i="3"/>
  <c r="F64" i="3"/>
  <c r="G64" i="3" s="1"/>
  <c r="F51" i="3"/>
  <c r="G51" i="3" s="1"/>
  <c r="F55" i="3"/>
  <c r="G55" i="3" s="1"/>
  <c r="F63" i="3"/>
  <c r="G63" i="3" s="1"/>
  <c r="F50" i="3"/>
  <c r="F54" i="3"/>
  <c r="G54" i="3" s="1"/>
  <c r="F62" i="3"/>
  <c r="G62" i="3" s="1"/>
  <c r="F44" i="3"/>
  <c r="G44" i="3" s="1"/>
  <c r="F41" i="3"/>
  <c r="G41" i="3" s="1"/>
  <c r="F43" i="3"/>
  <c r="G43" i="3" s="1"/>
  <c r="F42" i="3"/>
  <c r="G42" i="3" s="1"/>
  <c r="F45" i="3"/>
  <c r="G45" i="3" s="1"/>
  <c r="F40" i="3"/>
  <c r="F28" i="3"/>
  <c r="G28" i="3" s="1"/>
  <c r="G34" i="3"/>
  <c r="L77" i="3"/>
  <c r="L75" i="3"/>
  <c r="L71" i="3"/>
  <c r="L73" i="3"/>
  <c r="T30" i="3" l="1"/>
  <c r="N30" i="3"/>
  <c r="R30" i="3"/>
  <c r="P30" i="3"/>
  <c r="P31" i="3"/>
  <c r="R31" i="3"/>
  <c r="T31" i="3"/>
  <c r="N31" i="3"/>
  <c r="P29" i="3"/>
  <c r="T29" i="3"/>
  <c r="R29" i="3"/>
  <c r="N29" i="3"/>
  <c r="N32" i="3"/>
  <c r="T32" i="3"/>
  <c r="P32" i="3"/>
  <c r="R32" i="3"/>
  <c r="G7" i="3"/>
  <c r="K7" i="3" s="1"/>
  <c r="J73" i="3"/>
  <c r="K73" i="3"/>
  <c r="J75" i="3"/>
  <c r="K75" i="3"/>
  <c r="K77" i="3"/>
  <c r="J77" i="3"/>
  <c r="N71" i="3"/>
  <c r="P71" i="3"/>
  <c r="K71" i="3"/>
  <c r="J71" i="3"/>
  <c r="L45" i="3"/>
  <c r="K45" i="3"/>
  <c r="J45" i="3"/>
  <c r="L43" i="3"/>
  <c r="K43" i="3"/>
  <c r="J43" i="3"/>
  <c r="L44" i="3"/>
  <c r="K44" i="3"/>
  <c r="J44" i="3"/>
  <c r="L54" i="3"/>
  <c r="J54" i="3"/>
  <c r="K54" i="3"/>
  <c r="L63" i="3"/>
  <c r="J63" i="3"/>
  <c r="K63" i="3"/>
  <c r="L51" i="3"/>
  <c r="K51" i="3"/>
  <c r="J51" i="3"/>
  <c r="F66" i="3"/>
  <c r="G60" i="3"/>
  <c r="L65" i="3"/>
  <c r="L53" i="3"/>
  <c r="J53" i="3"/>
  <c r="K53" i="3"/>
  <c r="J35" i="3"/>
  <c r="K35" i="3"/>
  <c r="F46" i="3"/>
  <c r="G40" i="3"/>
  <c r="L42" i="3"/>
  <c r="J42" i="3"/>
  <c r="K42" i="3"/>
  <c r="L41" i="3"/>
  <c r="J41" i="3"/>
  <c r="K41" i="3"/>
  <c r="L62" i="3"/>
  <c r="J62" i="3"/>
  <c r="K62" i="3"/>
  <c r="F56" i="3"/>
  <c r="G50" i="3"/>
  <c r="L55" i="3"/>
  <c r="J55" i="3"/>
  <c r="K55" i="3"/>
  <c r="L64" i="3"/>
  <c r="L52" i="3"/>
  <c r="K52" i="3"/>
  <c r="J52" i="3"/>
  <c r="L61" i="3"/>
  <c r="J61" i="3"/>
  <c r="K61" i="3"/>
  <c r="L34" i="3"/>
  <c r="M34" i="3" s="1"/>
  <c r="J34" i="3"/>
  <c r="K34" i="3"/>
  <c r="L33" i="3"/>
  <c r="M33" i="3" s="1"/>
  <c r="K33" i="3"/>
  <c r="J33" i="3"/>
  <c r="L28" i="3"/>
  <c r="L27" i="3"/>
  <c r="M27" i="3" s="1"/>
  <c r="J27" i="3"/>
  <c r="K27" i="3"/>
  <c r="L26" i="3"/>
  <c r="N26" i="3" s="1"/>
  <c r="O26" i="3" s="1"/>
  <c r="K26" i="3"/>
  <c r="J26" i="3"/>
  <c r="F36" i="3"/>
  <c r="G36" i="3"/>
  <c r="M77" i="3"/>
  <c r="M75" i="3"/>
  <c r="M71" i="3"/>
  <c r="M73" i="3"/>
  <c r="S3" i="9" l="1"/>
  <c r="R33" i="3"/>
  <c r="S33" i="3" s="1"/>
  <c r="O71" i="3"/>
  <c r="T27" i="3"/>
  <c r="U27" i="3" s="1"/>
  <c r="N34" i="3"/>
  <c r="O34" i="3" s="1"/>
  <c r="R27" i="3"/>
  <c r="S27" i="3" s="1"/>
  <c r="P34" i="3"/>
  <c r="Q34" i="3" s="1"/>
  <c r="N27" i="3"/>
  <c r="O27" i="3" s="1"/>
  <c r="P27" i="3"/>
  <c r="Q27" i="3" s="1"/>
  <c r="R34" i="3"/>
  <c r="S34" i="3" s="1"/>
  <c r="T34" i="3"/>
  <c r="U34" i="3" s="1"/>
  <c r="Q71" i="3"/>
  <c r="S10" i="3"/>
  <c r="N77" i="3"/>
  <c r="P77" i="3"/>
  <c r="P75" i="3"/>
  <c r="N75" i="3"/>
  <c r="N73" i="3"/>
  <c r="P73" i="3"/>
  <c r="T52" i="3"/>
  <c r="U52" i="3" s="1"/>
  <c r="P52" i="3"/>
  <c r="Q52" i="3" s="1"/>
  <c r="N52" i="3"/>
  <c r="O52" i="3" s="1"/>
  <c r="R52" i="3"/>
  <c r="S52" i="3" s="1"/>
  <c r="M52" i="3"/>
  <c r="T55" i="3"/>
  <c r="U55" i="3" s="1"/>
  <c r="R55" i="3"/>
  <c r="S55" i="3" s="1"/>
  <c r="P55" i="3"/>
  <c r="Q55" i="3" s="1"/>
  <c r="N55" i="3"/>
  <c r="O55" i="3" s="1"/>
  <c r="M55" i="3"/>
  <c r="M41" i="3"/>
  <c r="P41" i="3"/>
  <c r="Q41" i="3" s="1"/>
  <c r="N41" i="3"/>
  <c r="O41" i="3" s="1"/>
  <c r="T41" i="3"/>
  <c r="U41" i="3" s="1"/>
  <c r="R41" i="3"/>
  <c r="S41" i="3" s="1"/>
  <c r="L40" i="3"/>
  <c r="J40" i="3"/>
  <c r="J46" i="3" s="1"/>
  <c r="G46" i="3"/>
  <c r="K40" i="3"/>
  <c r="K46" i="3" s="1"/>
  <c r="N35" i="3"/>
  <c r="O35" i="3" s="1"/>
  <c r="P35" i="3"/>
  <c r="Q35" i="3" s="1"/>
  <c r="M35" i="3"/>
  <c r="R35" i="3"/>
  <c r="S35" i="3" s="1"/>
  <c r="T35" i="3"/>
  <c r="U35" i="3" s="1"/>
  <c r="T65" i="3"/>
  <c r="R65" i="3"/>
  <c r="P65" i="3"/>
  <c r="N65" i="3"/>
  <c r="T63" i="3"/>
  <c r="U63" i="3" s="1"/>
  <c r="P63" i="3"/>
  <c r="Q63" i="3" s="1"/>
  <c r="N63" i="3"/>
  <c r="O63" i="3" s="1"/>
  <c r="R63" i="3"/>
  <c r="S63" i="3" s="1"/>
  <c r="M63" i="3"/>
  <c r="M44" i="3"/>
  <c r="T44" i="3"/>
  <c r="U44" i="3" s="1"/>
  <c r="R44" i="3"/>
  <c r="S44" i="3" s="1"/>
  <c r="P44" i="3"/>
  <c r="Q44" i="3" s="1"/>
  <c r="N44" i="3"/>
  <c r="O44" i="3" s="1"/>
  <c r="P45" i="3"/>
  <c r="Q45" i="3" s="1"/>
  <c r="N45" i="3"/>
  <c r="O45" i="3" s="1"/>
  <c r="M45" i="3"/>
  <c r="T45" i="3"/>
  <c r="U45" i="3" s="1"/>
  <c r="R45" i="3"/>
  <c r="S45" i="3" s="1"/>
  <c r="T61" i="3"/>
  <c r="U61" i="3" s="1"/>
  <c r="P61" i="3"/>
  <c r="Q61" i="3" s="1"/>
  <c r="R61" i="3"/>
  <c r="S61" i="3" s="1"/>
  <c r="N61" i="3"/>
  <c r="O61" i="3" s="1"/>
  <c r="M61" i="3"/>
  <c r="T64" i="3"/>
  <c r="R64" i="3"/>
  <c r="P64" i="3"/>
  <c r="N64" i="3"/>
  <c r="L50" i="3"/>
  <c r="G56" i="3"/>
  <c r="K50" i="3"/>
  <c r="K56" i="3" s="1"/>
  <c r="J50" i="3"/>
  <c r="J56" i="3" s="1"/>
  <c r="T62" i="3"/>
  <c r="U62" i="3" s="1"/>
  <c r="N62" i="3"/>
  <c r="O62" i="3" s="1"/>
  <c r="R62" i="3"/>
  <c r="S62" i="3" s="1"/>
  <c r="P62" i="3"/>
  <c r="Q62" i="3" s="1"/>
  <c r="M62" i="3"/>
  <c r="N42" i="3"/>
  <c r="O42" i="3" s="1"/>
  <c r="P42" i="3"/>
  <c r="Q42" i="3" s="1"/>
  <c r="M42" i="3"/>
  <c r="T42" i="3"/>
  <c r="U42" i="3" s="1"/>
  <c r="R42" i="3"/>
  <c r="S42" i="3" s="1"/>
  <c r="T53" i="3"/>
  <c r="U53" i="3" s="1"/>
  <c r="N53" i="3"/>
  <c r="O53" i="3" s="1"/>
  <c r="R53" i="3"/>
  <c r="S53" i="3" s="1"/>
  <c r="P53" i="3"/>
  <c r="Q53" i="3" s="1"/>
  <c r="M53" i="3"/>
  <c r="G66" i="3"/>
  <c r="L60" i="3"/>
  <c r="K60" i="3"/>
  <c r="J60" i="3"/>
  <c r="R51" i="3"/>
  <c r="S51" i="3" s="1"/>
  <c r="N51" i="3"/>
  <c r="O51" i="3" s="1"/>
  <c r="T51" i="3"/>
  <c r="U51" i="3" s="1"/>
  <c r="P51" i="3"/>
  <c r="Q51" i="3" s="1"/>
  <c r="M51" i="3"/>
  <c r="T54" i="3"/>
  <c r="U54" i="3" s="1"/>
  <c r="R54" i="3"/>
  <c r="S54" i="3" s="1"/>
  <c r="P54" i="3"/>
  <c r="Q54" i="3" s="1"/>
  <c r="N54" i="3"/>
  <c r="O54" i="3" s="1"/>
  <c r="M54" i="3"/>
  <c r="M43" i="3"/>
  <c r="P43" i="3"/>
  <c r="Q43" i="3" s="1"/>
  <c r="R43" i="3"/>
  <c r="S43" i="3" s="1"/>
  <c r="T43" i="3"/>
  <c r="U43" i="3" s="1"/>
  <c r="N43" i="3"/>
  <c r="O43" i="3" s="1"/>
  <c r="T33" i="3"/>
  <c r="U33" i="3" s="1"/>
  <c r="P33" i="3"/>
  <c r="Q33" i="3" s="1"/>
  <c r="N33" i="3"/>
  <c r="O33" i="3" s="1"/>
  <c r="P28" i="3"/>
  <c r="R28" i="3"/>
  <c r="N28" i="3"/>
  <c r="T28" i="3"/>
  <c r="T26" i="3"/>
  <c r="P26" i="3"/>
  <c r="R26" i="3"/>
  <c r="M26" i="3"/>
  <c r="L36" i="3"/>
  <c r="S5" i="9" l="1"/>
  <c r="S26" i="3"/>
  <c r="R36" i="3"/>
  <c r="U26" i="3"/>
  <c r="T36" i="3"/>
  <c r="Q26" i="3"/>
  <c r="P36" i="3"/>
  <c r="S11" i="3"/>
  <c r="Q73" i="3"/>
  <c r="O73" i="3"/>
  <c r="O75" i="3"/>
  <c r="Q75" i="3"/>
  <c r="Q77" i="3"/>
  <c r="O77" i="3"/>
  <c r="L66" i="3"/>
  <c r="R60" i="3"/>
  <c r="R66" i="3" s="1"/>
  <c r="N60" i="3"/>
  <c r="N66" i="3" s="1"/>
  <c r="T60" i="3"/>
  <c r="T66" i="3" s="1"/>
  <c r="P60" i="3"/>
  <c r="P66" i="3" s="1"/>
  <c r="M60" i="3"/>
  <c r="T50" i="3"/>
  <c r="T56" i="3" s="1"/>
  <c r="P50" i="3"/>
  <c r="P56" i="3" s="1"/>
  <c r="L56" i="3"/>
  <c r="R50" i="3"/>
  <c r="R56" i="3" s="1"/>
  <c r="N50" i="3"/>
  <c r="N56" i="3" s="1"/>
  <c r="M50" i="3"/>
  <c r="M56" i="3" s="1"/>
  <c r="R40" i="3"/>
  <c r="R46" i="3" s="1"/>
  <c r="P40" i="3"/>
  <c r="P46" i="3" s="1"/>
  <c r="T40" i="3"/>
  <c r="T46" i="3" s="1"/>
  <c r="N40" i="3"/>
  <c r="N46" i="3" s="1"/>
  <c r="M40" i="3"/>
  <c r="M46" i="3" s="1"/>
  <c r="L46" i="3"/>
  <c r="N36" i="3"/>
  <c r="U40" i="3" l="1"/>
  <c r="U46" i="3" s="1"/>
  <c r="S40" i="3"/>
  <c r="S46" i="3" s="1"/>
  <c r="O50" i="3"/>
  <c r="U50" i="3"/>
  <c r="U56" i="3" s="1"/>
  <c r="Q60" i="3"/>
  <c r="O60" i="3"/>
  <c r="O40" i="3"/>
  <c r="O46" i="3" s="1"/>
  <c r="Q40" i="3"/>
  <c r="Q46" i="3" s="1"/>
  <c r="S50" i="3"/>
  <c r="S56" i="3" s="1"/>
  <c r="Q50" i="3"/>
  <c r="U60" i="3"/>
  <c r="S60" i="3"/>
  <c r="H17" i="5"/>
  <c r="I17" i="5" l="1"/>
  <c r="J17" i="5"/>
  <c r="A28" i="10"/>
  <c r="V118" i="10"/>
  <c r="A48" i="9"/>
  <c r="A51" i="9"/>
  <c r="V116" i="8"/>
  <c r="A56" i="9"/>
  <c r="A46" i="9"/>
  <c r="A29" i="10"/>
  <c r="A59" i="9"/>
  <c r="A39" i="9"/>
  <c r="V122" i="2"/>
  <c r="A37" i="9"/>
  <c r="A29" i="9"/>
  <c r="A36" i="9"/>
  <c r="A41" i="9"/>
  <c r="A58" i="9"/>
  <c r="A30" i="9"/>
  <c r="A57" i="9"/>
  <c r="A60" i="9"/>
  <c r="A49" i="9"/>
  <c r="A50" i="9"/>
  <c r="A47" i="9"/>
  <c r="A31" i="9"/>
  <c r="A28" i="9"/>
  <c r="A38" i="9"/>
  <c r="A61" i="9"/>
  <c r="A40" i="9"/>
  <c r="H64" i="3"/>
  <c r="H65" i="3"/>
  <c r="H32" i="3"/>
  <c r="H30" i="3"/>
  <c r="H29" i="3"/>
  <c r="H31" i="3"/>
  <c r="H28" i="3"/>
  <c r="O30" i="2"/>
  <c r="L30" i="2"/>
  <c r="N30" i="2"/>
  <c r="M30" i="2"/>
  <c r="P30" i="2"/>
  <c r="I30" i="2"/>
  <c r="J30" i="2"/>
  <c r="H30" i="2"/>
  <c r="G30" i="2"/>
  <c r="T30" i="2"/>
  <c r="Q30" i="2"/>
  <c r="K30" i="2"/>
  <c r="R30" i="2"/>
  <c r="S30" i="2"/>
  <c r="U30" i="2"/>
  <c r="I64" i="3" l="1"/>
  <c r="K64" i="3"/>
  <c r="J64" i="3"/>
  <c r="M64" i="3"/>
  <c r="O64" i="3"/>
  <c r="Q64" i="3"/>
  <c r="S64" i="3"/>
  <c r="U64" i="3"/>
  <c r="I65" i="3"/>
  <c r="H66" i="3"/>
  <c r="J65" i="3"/>
  <c r="K65" i="3"/>
  <c r="M65" i="3"/>
  <c r="Q65" i="3"/>
  <c r="O65" i="3"/>
  <c r="S65" i="3"/>
  <c r="U65" i="3"/>
  <c r="I32" i="3"/>
  <c r="K32" i="3"/>
  <c r="M32" i="3"/>
  <c r="J32" i="3"/>
  <c r="S32" i="3"/>
  <c r="Q32" i="3"/>
  <c r="U32" i="3"/>
  <c r="O32" i="3"/>
  <c r="I31" i="3"/>
  <c r="K31" i="3"/>
  <c r="M31" i="3"/>
  <c r="J31" i="3"/>
  <c r="O31" i="3"/>
  <c r="U31" i="3"/>
  <c r="S31" i="3"/>
  <c r="Q31" i="3"/>
  <c r="M30" i="3"/>
  <c r="I30" i="3"/>
  <c r="K30" i="3"/>
  <c r="J30" i="3"/>
  <c r="U30" i="3"/>
  <c r="Q30" i="3"/>
  <c r="S30" i="3"/>
  <c r="O30" i="3"/>
  <c r="J29" i="3"/>
  <c r="K29" i="3"/>
  <c r="M29" i="3"/>
  <c r="I29" i="3"/>
  <c r="O29" i="3"/>
  <c r="S29" i="3"/>
  <c r="U29" i="3"/>
  <c r="Q29" i="3"/>
  <c r="I28" i="3"/>
  <c r="H36" i="3"/>
  <c r="K28" i="3"/>
  <c r="J28" i="3"/>
  <c r="M28" i="3"/>
  <c r="U28" i="3"/>
  <c r="S28" i="3"/>
  <c r="Q28" i="3"/>
  <c r="O28" i="3"/>
  <c r="N28" i="2"/>
  <c r="I28" i="2"/>
  <c r="L28" i="2"/>
  <c r="T28" i="2"/>
  <c r="U28" i="2"/>
  <c r="P28" i="2"/>
  <c r="J28" i="2"/>
  <c r="H28" i="2"/>
  <c r="O28" i="2"/>
  <c r="G28" i="2"/>
  <c r="K28" i="2"/>
  <c r="Q28" i="2"/>
  <c r="R28" i="2"/>
  <c r="S28" i="2"/>
  <c r="M28" i="2"/>
  <c r="J66" i="3" l="1"/>
  <c r="K66" i="3"/>
  <c r="Q66" i="3"/>
  <c r="M66" i="3"/>
  <c r="O66" i="3"/>
  <c r="I66" i="3"/>
  <c r="S66" i="3"/>
  <c r="U66" i="3"/>
  <c r="S36" i="3"/>
  <c r="K36" i="3"/>
  <c r="Q36" i="3"/>
  <c r="M36" i="3"/>
  <c r="U36" i="3"/>
  <c r="J36" i="3"/>
  <c r="O36" i="3"/>
  <c r="I36" i="3"/>
  <c r="P31" i="2"/>
  <c r="T31" i="2"/>
  <c r="M29" i="2"/>
  <c r="K29" i="2"/>
  <c r="K31" i="2"/>
  <c r="T29" i="2"/>
  <c r="G29" i="2"/>
  <c r="P29" i="2"/>
  <c r="H29" i="2"/>
  <c r="H31" i="2"/>
  <c r="N29" i="2"/>
  <c r="S29" i="2"/>
  <c r="N31" i="2"/>
  <c r="O29" i="2"/>
  <c r="U31" i="2"/>
  <c r="Q29" i="2"/>
  <c r="R31" i="2"/>
  <c r="Q31" i="2"/>
  <c r="S31" i="2"/>
  <c r="R29" i="2"/>
  <c r="U29" i="2"/>
  <c r="I31" i="2"/>
  <c r="I29" i="2"/>
  <c r="L29" i="2"/>
  <c r="M31" i="2"/>
  <c r="O31" i="2"/>
  <c r="L31" i="2"/>
  <c r="J29" i="2"/>
  <c r="G31" i="2"/>
  <c r="J31" i="2"/>
  <c r="S8" i="3" l="1"/>
  <c r="S5" i="3" s="1"/>
  <c r="S7" i="3"/>
  <c r="S3" i="3" s="1"/>
  <c r="A42" i="10"/>
  <c r="A67" i="10"/>
  <c r="A44" i="10"/>
  <c r="A56" i="10"/>
  <c r="A68" i="10"/>
  <c r="A69" i="10"/>
  <c r="A54" i="10"/>
  <c r="A31" i="10"/>
  <c r="A57" i="10"/>
  <c r="A66" i="10"/>
  <c r="A55" i="10"/>
  <c r="A65" i="10"/>
  <c r="A43" i="10"/>
  <c r="A53" i="10"/>
  <c r="A30" i="10"/>
  <c r="A27" i="10"/>
  <c r="A41" i="10"/>
  <c r="A40" i="10"/>
  <c r="A64" i="10"/>
  <c r="M53" i="10"/>
  <c r="L54" i="10"/>
  <c r="N40" i="10"/>
  <c r="O31" i="10"/>
  <c r="T69" i="10"/>
  <c r="O66" i="10"/>
  <c r="G42" i="10"/>
  <c r="U44" i="10"/>
  <c r="L41" i="10"/>
  <c r="U42" i="10"/>
  <c r="L64" i="10"/>
  <c r="H43" i="10"/>
  <c r="L57" i="10"/>
  <c r="T67" i="10"/>
  <c r="Q55" i="10"/>
  <c r="N65" i="10"/>
  <c r="L68" i="10"/>
  <c r="T27" i="10"/>
  <c r="M56" i="10"/>
  <c r="U30" i="10"/>
  <c r="A39" i="10" l="1"/>
  <c r="N67" i="10"/>
  <c r="I41" i="10"/>
  <c r="S54" i="10"/>
  <c r="H65" i="10"/>
  <c r="H67" i="10"/>
  <c r="R65" i="10"/>
  <c r="S39" i="10"/>
  <c r="Q40" i="10"/>
  <c r="T68" i="10"/>
  <c r="U67" i="10"/>
  <c r="R66" i="10"/>
  <c r="K66" i="10"/>
  <c r="Q41" i="10"/>
  <c r="O43" i="10"/>
  <c r="M31" i="10"/>
  <c r="N27" i="10"/>
  <c r="R54" i="10"/>
  <c r="J66" i="10"/>
  <c r="N55" i="10"/>
  <c r="K44" i="10"/>
  <c r="N56" i="10"/>
  <c r="M65" i="10"/>
  <c r="M64" i="10"/>
  <c r="K69" i="10"/>
  <c r="K64" i="10"/>
  <c r="I67" i="10"/>
  <c r="Q64" i="10"/>
  <c r="T64" i="10"/>
  <c r="N30" i="10"/>
  <c r="R44" i="10"/>
  <c r="S55" i="10"/>
  <c r="N69" i="10"/>
  <c r="H30" i="10"/>
  <c r="H27" i="10"/>
  <c r="G43" i="10"/>
  <c r="H69" i="10"/>
  <c r="I66" i="10"/>
  <c r="L69" i="10"/>
  <c r="N53" i="10"/>
  <c r="H40" i="10"/>
  <c r="L65" i="10"/>
  <c r="J65" i="10"/>
  <c r="I54" i="10"/>
  <c r="U66" i="10"/>
  <c r="M30" i="10"/>
  <c r="L56" i="10"/>
  <c r="Q31" i="10"/>
  <c r="K40" i="10"/>
  <c r="O55" i="10"/>
  <c r="N68" i="10"/>
  <c r="N44" i="10"/>
  <c r="T57" i="10"/>
  <c r="M27" i="10"/>
  <c r="S42" i="10"/>
  <c r="G57" i="10"/>
  <c r="S68" i="10"/>
  <c r="Q56" i="10"/>
  <c r="G53" i="10"/>
  <c r="H31" i="10"/>
  <c r="P57" i="10"/>
  <c r="S56" i="10"/>
  <c r="R42" i="10"/>
  <c r="O68" i="10"/>
  <c r="G65" i="10"/>
  <c r="S65" i="10"/>
  <c r="G31" i="10"/>
  <c r="K42" i="10"/>
  <c r="P41" i="10"/>
  <c r="Q42" i="10"/>
  <c r="Q30" i="10"/>
  <c r="P43" i="10"/>
  <c r="I30" i="10"/>
  <c r="M44" i="10"/>
  <c r="G67" i="10"/>
  <c r="H66" i="10"/>
  <c r="R55" i="10"/>
  <c r="K67" i="10"/>
  <c r="L31" i="10"/>
  <c r="S67" i="10"/>
  <c r="I43" i="10"/>
  <c r="I27" i="10"/>
  <c r="T41" i="10"/>
  <c r="J27" i="10"/>
  <c r="P54" i="10"/>
  <c r="G40" i="10"/>
  <c r="P27" i="10"/>
  <c r="J69" i="10"/>
  <c r="G66" i="10"/>
  <c r="O44" i="10"/>
  <c r="T30" i="10"/>
  <c r="G54" i="10"/>
  <c r="L55" i="10"/>
  <c r="K56" i="10"/>
  <c r="T31" i="10"/>
  <c r="R56" i="10"/>
  <c r="S64" i="10"/>
  <c r="R41" i="10"/>
  <c r="M43" i="10"/>
  <c r="L42" i="10"/>
  <c r="U65" i="10"/>
  <c r="K31" i="10"/>
  <c r="G56" i="10"/>
  <c r="I65" i="10"/>
  <c r="S30" i="10"/>
  <c r="K30" i="10"/>
  <c r="P44" i="10"/>
  <c r="U69" i="10"/>
  <c r="H54" i="10"/>
  <c r="K27" i="10"/>
  <c r="L67" i="10"/>
  <c r="J55" i="10"/>
  <c r="U41" i="10"/>
  <c r="R27" i="10"/>
  <c r="Q54" i="10"/>
  <c r="Q65" i="10"/>
  <c r="J43" i="10"/>
  <c r="U57" i="10"/>
  <c r="O57" i="10"/>
  <c r="J40" i="10"/>
  <c r="G69" i="10"/>
  <c r="N66" i="10"/>
  <c r="O65" i="10"/>
  <c r="K43" i="10"/>
  <c r="I68" i="10"/>
  <c r="P68" i="10"/>
  <c r="R53" i="10"/>
  <c r="L27" i="10"/>
  <c r="I55" i="10"/>
  <c r="U68" i="10"/>
  <c r="P55" i="10"/>
  <c r="P31" i="10"/>
  <c r="M54" i="10"/>
  <c r="T66" i="10"/>
  <c r="N42" i="10"/>
  <c r="I69" i="10"/>
  <c r="L53" i="10"/>
  <c r="M68" i="10"/>
  <c r="J41" i="10"/>
  <c r="J31" i="10"/>
  <c r="I53" i="10"/>
  <c r="Q53" i="10"/>
  <c r="R43" i="10"/>
  <c r="R40" i="10"/>
  <c r="Q67" i="10"/>
  <c r="S40" i="10"/>
  <c r="Q43" i="10"/>
  <c r="O54" i="10"/>
  <c r="S41" i="10"/>
  <c r="J42" i="10"/>
  <c r="P65" i="10"/>
  <c r="U31" i="10"/>
  <c r="T43" i="10"/>
  <c r="N43" i="10"/>
  <c r="M69" i="10"/>
  <c r="K68" i="10"/>
  <c r="M41" i="10"/>
  <c r="R57" i="10"/>
  <c r="M40" i="10"/>
  <c r="M67" i="10"/>
  <c r="I42" i="10"/>
  <c r="P56" i="10"/>
  <c r="H55" i="10"/>
  <c r="I57" i="10"/>
  <c r="K53" i="10"/>
  <c r="P69" i="10"/>
  <c r="G30" i="10"/>
  <c r="J67" i="10"/>
  <c r="J53" i="10"/>
  <c r="S31" i="10"/>
  <c r="S69" i="10"/>
  <c r="G41" i="10"/>
  <c r="O41" i="10"/>
  <c r="G64" i="10"/>
  <c r="U40" i="10"/>
  <c r="S43" i="10"/>
  <c r="T55" i="10"/>
  <c r="J64" i="10"/>
  <c r="Q44" i="10"/>
  <c r="R67" i="10"/>
  <c r="M42" i="10"/>
  <c r="L43" i="10"/>
  <c r="Q68" i="10"/>
  <c r="P42" i="10"/>
  <c r="I31" i="10"/>
  <c r="H68" i="10"/>
  <c r="N57" i="10"/>
  <c r="H64" i="10"/>
  <c r="S44" i="10"/>
  <c r="O27" i="10"/>
  <c r="H42" i="10"/>
  <c r="T42" i="10"/>
  <c r="L44" i="10"/>
  <c r="K57" i="10"/>
  <c r="T65" i="10"/>
  <c r="O67" i="10"/>
  <c r="U55" i="10"/>
  <c r="P66" i="10"/>
  <c r="Q69" i="10"/>
  <c r="M55" i="10"/>
  <c r="H41" i="10"/>
  <c r="J44" i="10"/>
  <c r="U43" i="10"/>
  <c r="N64" i="10"/>
  <c r="J68" i="10"/>
  <c r="L40" i="10"/>
  <c r="P30" i="10"/>
  <c r="M57" i="10"/>
  <c r="S57" i="10"/>
  <c r="J57" i="10"/>
  <c r="U54" i="10"/>
  <c r="S27" i="10"/>
  <c r="O53" i="10"/>
  <c r="Q57" i="10"/>
  <c r="T54" i="10"/>
  <c r="Q27" i="10"/>
  <c r="N31" i="10"/>
  <c r="T56" i="10"/>
  <c r="R68" i="10"/>
  <c r="K54" i="10"/>
  <c r="I64" i="10"/>
  <c r="Q66" i="10"/>
  <c r="T40" i="10"/>
  <c r="H53" i="10"/>
  <c r="O40" i="10"/>
  <c r="T44" i="10"/>
  <c r="O69" i="10"/>
  <c r="J30" i="10"/>
  <c r="P40" i="10"/>
  <c r="O30" i="10"/>
  <c r="R69" i="10"/>
  <c r="R30" i="10"/>
  <c r="O64" i="10"/>
  <c r="J54" i="10"/>
  <c r="G68" i="10"/>
  <c r="K41" i="10"/>
  <c r="P67" i="10"/>
  <c r="H44" i="10"/>
  <c r="G55" i="10"/>
  <c r="U64" i="10"/>
  <c r="U27" i="10"/>
  <c r="P64" i="10"/>
  <c r="L30" i="10"/>
  <c r="M66" i="10"/>
  <c r="L66" i="10"/>
  <c r="R31" i="10"/>
  <c r="K55" i="10"/>
  <c r="T53" i="10"/>
  <c r="N54" i="10"/>
  <c r="I40" i="10"/>
  <c r="N41" i="10"/>
  <c r="J56" i="10"/>
  <c r="U56" i="10"/>
  <c r="G27" i="10"/>
  <c r="O56" i="10"/>
  <c r="S53" i="10"/>
  <c r="U53" i="10"/>
  <c r="H57" i="10"/>
  <c r="S66" i="10"/>
  <c r="K65" i="10"/>
  <c r="I44" i="10"/>
  <c r="H56" i="10"/>
  <c r="P53" i="10"/>
  <c r="G44" i="10"/>
  <c r="O42" i="10"/>
  <c r="R64" i="10"/>
  <c r="I56" i="10"/>
  <c r="O70" i="10" l="1"/>
  <c r="O71" i="10" s="1"/>
  <c r="N70" i="10"/>
  <c r="N71" i="10" s="1"/>
  <c r="I70" i="10"/>
  <c r="I71" i="10" s="1"/>
  <c r="R70" i="10"/>
  <c r="R71" i="10" s="1"/>
  <c r="P70" i="10"/>
  <c r="P71" i="10" s="1"/>
  <c r="J70" i="10"/>
  <c r="J71" i="10" s="1"/>
  <c r="Q70" i="10"/>
  <c r="Q71" i="10" s="1"/>
  <c r="T70" i="10"/>
  <c r="T71" i="10" s="1"/>
  <c r="G70" i="10"/>
  <c r="G71" i="10" s="1"/>
  <c r="U70" i="10"/>
  <c r="U71" i="10" s="1"/>
  <c r="H70" i="10"/>
  <c r="H71" i="10" s="1"/>
  <c r="M70" i="10"/>
  <c r="M71" i="10" s="1"/>
  <c r="K70" i="10"/>
  <c r="K71" i="10" s="1"/>
  <c r="S70" i="10"/>
  <c r="S71" i="10" s="1"/>
  <c r="L70" i="10"/>
  <c r="L71" i="10" s="1"/>
  <c r="S45" i="10"/>
  <c r="S46" i="10" s="1"/>
  <c r="A52" i="10"/>
  <c r="N39" i="10"/>
  <c r="H39" i="10"/>
  <c r="P39" i="10"/>
  <c r="Q39" i="10"/>
  <c r="M39" i="10"/>
  <c r="L39" i="10"/>
  <c r="U39" i="10"/>
  <c r="K39" i="10"/>
  <c r="O39" i="10"/>
  <c r="R39" i="10"/>
  <c r="J39" i="10"/>
  <c r="I39" i="10"/>
  <c r="G39" i="10"/>
  <c r="T39" i="10"/>
  <c r="U52" i="10"/>
  <c r="U45" i="10" l="1"/>
  <c r="U46" i="10" s="1"/>
  <c r="T45" i="10"/>
  <c r="T46" i="10" s="1"/>
  <c r="R45" i="10"/>
  <c r="R46" i="10" s="1"/>
  <c r="J45" i="10"/>
  <c r="J46" i="10" s="1"/>
  <c r="O45" i="10"/>
  <c r="O46" i="10" s="1"/>
  <c r="K45" i="10"/>
  <c r="K46" i="10" s="1"/>
  <c r="G45" i="10"/>
  <c r="G46" i="10" s="1"/>
  <c r="M45" i="10"/>
  <c r="M46" i="10" s="1"/>
  <c r="H45" i="10"/>
  <c r="H46" i="10" s="1"/>
  <c r="L45" i="10"/>
  <c r="L46" i="10" s="1"/>
  <c r="N45" i="10"/>
  <c r="N46" i="10" s="1"/>
  <c r="P45" i="10"/>
  <c r="P46" i="10" s="1"/>
  <c r="Q45" i="10"/>
  <c r="Q46" i="10" s="1"/>
  <c r="I45" i="10"/>
  <c r="I46" i="10" s="1"/>
  <c r="U58" i="10"/>
  <c r="U59" i="10" s="1"/>
  <c r="A28" i="8"/>
  <c r="A29" i="8"/>
  <c r="A27" i="8"/>
  <c r="A39" i="8"/>
  <c r="A40" i="8"/>
  <c r="A38" i="8"/>
  <c r="A41" i="8"/>
  <c r="A42" i="8"/>
  <c r="A55" i="8"/>
  <c r="A51" i="8"/>
  <c r="A54" i="8"/>
  <c r="A53" i="8"/>
  <c r="A52" i="8"/>
  <c r="A63" i="8"/>
  <c r="A65" i="8"/>
  <c r="A66" i="8"/>
  <c r="A64" i="8"/>
  <c r="A67" i="8"/>
  <c r="A50" i="8" l="1"/>
  <c r="A26" i="10" l="1"/>
  <c r="A37" i="8" l="1"/>
  <c r="A62" i="8" l="1"/>
  <c r="A26" i="8" l="1"/>
  <c r="Q64" i="8"/>
  <c r="O55" i="8"/>
  <c r="J54" i="8"/>
  <c r="R53" i="8"/>
  <c r="O41" i="8"/>
  <c r="J27" i="2"/>
  <c r="O58" i="2"/>
  <c r="U46" i="2"/>
  <c r="R27" i="8"/>
  <c r="Q44" i="2"/>
  <c r="Q65" i="8"/>
  <c r="H56" i="2"/>
  <c r="L41" i="8"/>
  <c r="N33" i="2"/>
  <c r="P45" i="2"/>
  <c r="S55" i="8"/>
  <c r="T52" i="10"/>
  <c r="R43" i="2"/>
  <c r="R32" i="2"/>
  <c r="K66" i="8"/>
  <c r="L57" i="2"/>
  <c r="I55" i="8"/>
  <c r="P64" i="8"/>
  <c r="L42" i="8"/>
  <c r="K59" i="2"/>
  <c r="I59" i="2"/>
  <c r="G50" i="8"/>
  <c r="L67" i="2"/>
  <c r="N53" i="8"/>
  <c r="I51" i="8"/>
  <c r="S71" i="2"/>
  <c r="N58" i="2"/>
  <c r="N40" i="8"/>
  <c r="M70" i="2"/>
  <c r="O52" i="10"/>
  <c r="K63" i="8"/>
  <c r="H27" i="2"/>
  <c r="J52" i="10"/>
  <c r="Q43" i="2"/>
  <c r="T59" i="2"/>
  <c r="N67" i="8"/>
  <c r="S52" i="10"/>
  <c r="J45" i="2"/>
  <c r="U27" i="8"/>
  <c r="H55" i="2"/>
  <c r="R52" i="10"/>
  <c r="O43" i="2"/>
  <c r="H65" i="8"/>
  <c r="N68" i="2"/>
  <c r="M69" i="2"/>
  <c r="Q66" i="8"/>
  <c r="T44" i="2"/>
  <c r="M44" i="2"/>
  <c r="P41" i="8"/>
  <c r="O46" i="2"/>
  <c r="J66" i="8"/>
  <c r="T63" i="8"/>
  <c r="L55" i="2"/>
  <c r="T27" i="2"/>
  <c r="T67" i="8"/>
  <c r="N56" i="2"/>
  <c r="M56" i="2"/>
  <c r="G54" i="8"/>
  <c r="G27" i="8"/>
  <c r="N66" i="8"/>
  <c r="S63" i="8"/>
  <c r="H69" i="2"/>
  <c r="T58" i="2"/>
  <c r="I65" i="8"/>
  <c r="P44" i="2"/>
  <c r="H67" i="2"/>
  <c r="N51" i="8"/>
  <c r="U64" i="8"/>
  <c r="J51" i="8"/>
  <c r="N52" i="10"/>
  <c r="K45" i="2"/>
  <c r="R65" i="8"/>
  <c r="P27" i="8"/>
  <c r="U65" i="8"/>
  <c r="U43" i="2"/>
  <c r="R67" i="8"/>
  <c r="R59" i="2"/>
  <c r="U32" i="2"/>
  <c r="P54" i="8"/>
  <c r="L69" i="2"/>
  <c r="P70" i="2"/>
  <c r="U67" i="2"/>
  <c r="M57" i="2"/>
  <c r="K54" i="8"/>
  <c r="K57" i="2"/>
  <c r="L63" i="8"/>
  <c r="T54" i="8"/>
  <c r="M39" i="8"/>
  <c r="G45" i="2"/>
  <c r="R52" i="8"/>
  <c r="Q59" i="2"/>
  <c r="K28" i="8"/>
  <c r="U40" i="8"/>
  <c r="H70" i="2"/>
  <c r="G28" i="8"/>
  <c r="R55" i="8"/>
  <c r="K33" i="2"/>
  <c r="K53" i="8"/>
  <c r="Q32" i="2"/>
  <c r="G59" i="2"/>
  <c r="G41" i="8"/>
  <c r="K44" i="2"/>
  <c r="P66" i="8"/>
  <c r="O54" i="8"/>
  <c r="J67" i="2"/>
  <c r="O67" i="2"/>
  <c r="J71" i="2"/>
  <c r="H27" i="8"/>
  <c r="R67" i="2"/>
  <c r="P28" i="8"/>
  <c r="H39" i="8"/>
  <c r="U71" i="2"/>
  <c r="I64" i="8"/>
  <c r="G64" i="8"/>
  <c r="J55" i="8"/>
  <c r="S27" i="2"/>
  <c r="J53" i="8"/>
  <c r="H58" i="2"/>
  <c r="R40" i="8"/>
  <c r="N52" i="8"/>
  <c r="Q58" i="2"/>
  <c r="S70" i="2"/>
  <c r="L32" i="2"/>
  <c r="H29" i="8"/>
  <c r="H57" i="2"/>
  <c r="S50" i="8"/>
  <c r="S46" i="2"/>
  <c r="J29" i="8"/>
  <c r="P52" i="8"/>
  <c r="I57" i="2"/>
  <c r="T55" i="2"/>
  <c r="R42" i="8"/>
  <c r="L70" i="2"/>
  <c r="L43" i="2"/>
  <c r="G38" i="8"/>
  <c r="Q69" i="2"/>
  <c r="I44" i="2"/>
  <c r="L28" i="8"/>
  <c r="G53" i="8"/>
  <c r="K67" i="2"/>
  <c r="M65" i="8"/>
  <c r="S59" i="2"/>
  <c r="P56" i="2"/>
  <c r="S43" i="2"/>
  <c r="K69" i="2"/>
  <c r="Q67" i="8"/>
  <c r="O40" i="8"/>
  <c r="L46" i="2"/>
  <c r="S54" i="8"/>
  <c r="K27" i="8"/>
  <c r="S56" i="2"/>
  <c r="J70" i="2"/>
  <c r="O50" i="8"/>
  <c r="P39" i="8"/>
  <c r="O56" i="2"/>
  <c r="Q38" i="8"/>
  <c r="O33" i="2"/>
  <c r="T57" i="2"/>
  <c r="G39" i="8"/>
  <c r="I58" i="2"/>
  <c r="O55" i="2"/>
  <c r="O27" i="8"/>
  <c r="J28" i="8"/>
  <c r="J39" i="8"/>
  <c r="K68" i="2"/>
  <c r="T68" i="2"/>
  <c r="H40" i="8"/>
  <c r="G46" i="2"/>
  <c r="L45" i="2"/>
  <c r="N41" i="8"/>
  <c r="L65" i="8"/>
  <c r="U58" i="2"/>
  <c r="N42" i="8"/>
  <c r="J40" i="8"/>
  <c r="R56" i="2"/>
  <c r="G32" i="2"/>
  <c r="K42" i="8"/>
  <c r="S66" i="8"/>
  <c r="T50" i="8"/>
  <c r="J56" i="2"/>
  <c r="Q57" i="2"/>
  <c r="G65" i="8"/>
  <c r="H66" i="8"/>
  <c r="M45" i="2"/>
  <c r="G27" i="2"/>
  <c r="H28" i="8"/>
  <c r="Q46" i="2"/>
  <c r="Q52" i="8"/>
  <c r="M38" i="8"/>
  <c r="P52" i="10"/>
  <c r="R54" i="8"/>
  <c r="H55" i="8"/>
  <c r="I70" i="2"/>
  <c r="K67" i="8"/>
  <c r="O63" i="8"/>
  <c r="N50" i="8"/>
  <c r="Q33" i="2"/>
  <c r="M32" i="2"/>
  <c r="H51" i="8"/>
  <c r="Q39" i="8"/>
  <c r="H41" i="8"/>
  <c r="M33" i="2"/>
  <c r="Q53" i="8"/>
  <c r="R68" i="2"/>
  <c r="M43" i="2"/>
  <c r="G40" i="8"/>
  <c r="P42" i="8"/>
  <c r="Q27" i="8"/>
  <c r="N55" i="8"/>
  <c r="K52" i="10"/>
  <c r="H32" i="2"/>
  <c r="P55" i="8"/>
  <c r="J44" i="2"/>
  <c r="G68" i="2"/>
  <c r="R69" i="2"/>
  <c r="G67" i="8"/>
  <c r="L29" i="8"/>
  <c r="O57" i="2"/>
  <c r="N55" i="2"/>
  <c r="H68" i="2"/>
  <c r="R66" i="8"/>
  <c r="I67" i="2"/>
  <c r="M66" i="8"/>
  <c r="R63" i="8"/>
  <c r="H59" i="2"/>
  <c r="Q45" i="2"/>
  <c r="G52" i="10"/>
  <c r="S55" i="2"/>
  <c r="U66" i="8"/>
  <c r="U45" i="2"/>
  <c r="N27" i="8"/>
  <c r="L66" i="8"/>
  <c r="S44" i="2"/>
  <c r="H26" i="10"/>
  <c r="N64" i="8"/>
  <c r="U55" i="8"/>
  <c r="K70" i="2"/>
  <c r="M28" i="8"/>
  <c r="I53" i="8"/>
  <c r="J69" i="2"/>
  <c r="Q42" i="8"/>
  <c r="M59" i="2"/>
  <c r="I43" i="2"/>
  <c r="U53" i="8"/>
  <c r="R58" i="2"/>
  <c r="M41" i="8"/>
  <c r="K71" i="2"/>
  <c r="I40" i="8"/>
  <c r="O28" i="8"/>
  <c r="M68" i="2"/>
  <c r="J50" i="8"/>
  <c r="R39" i="8"/>
  <c r="I33" i="2"/>
  <c r="L40" i="8"/>
  <c r="N57" i="2"/>
  <c r="I28" i="8"/>
  <c r="M55" i="8"/>
  <c r="I45" i="2"/>
  <c r="H71" i="2"/>
  <c r="L52" i="10"/>
  <c r="T40" i="8"/>
  <c r="N29" i="8"/>
  <c r="I38" i="8"/>
  <c r="R45" i="2"/>
  <c r="O70" i="2"/>
  <c r="M53" i="8"/>
  <c r="T38" i="8"/>
  <c r="G57" i="2"/>
  <c r="U59" i="2"/>
  <c r="R70" i="2"/>
  <c r="H42" i="8"/>
  <c r="U67" i="8"/>
  <c r="N45" i="2"/>
  <c r="T46" i="2"/>
  <c r="H52" i="8"/>
  <c r="R55" i="2"/>
  <c r="M50" i="8"/>
  <c r="Q67" i="2"/>
  <c r="H67" i="8"/>
  <c r="Q40" i="8"/>
  <c r="S28" i="8"/>
  <c r="U44" i="2"/>
  <c r="G33" i="2"/>
  <c r="G44" i="2"/>
  <c r="H43" i="2"/>
  <c r="J63" i="8"/>
  <c r="T27" i="8"/>
  <c r="S27" i="8"/>
  <c r="L44" i="2"/>
  <c r="P68" i="2"/>
  <c r="R71" i="2"/>
  <c r="J42" i="8"/>
  <c r="P69" i="2"/>
  <c r="O51" i="8"/>
  <c r="L54" i="8"/>
  <c r="M67" i="8"/>
  <c r="P29" i="8"/>
  <c r="M63" i="8"/>
  <c r="L51" i="8"/>
  <c r="T67" i="2"/>
  <c r="H38" i="8"/>
  <c r="P33" i="2"/>
  <c r="N44" i="2"/>
  <c r="M27" i="2"/>
  <c r="I52" i="10"/>
  <c r="K55" i="8"/>
  <c r="O67" i="8"/>
  <c r="L59" i="2"/>
  <c r="T70" i="2"/>
  <c r="L52" i="8"/>
  <c r="T32" i="2"/>
  <c r="T69" i="2"/>
  <c r="O52" i="8"/>
  <c r="I56" i="2"/>
  <c r="O53" i="8"/>
  <c r="K40" i="8"/>
  <c r="G67" i="2"/>
  <c r="R64" i="8"/>
  <c r="T56" i="2"/>
  <c r="Q56" i="2"/>
  <c r="G43" i="2"/>
  <c r="K52" i="8"/>
  <c r="Q29" i="8"/>
  <c r="L27" i="2"/>
  <c r="U54" i="8"/>
  <c r="L71" i="2"/>
  <c r="U42" i="8"/>
  <c r="I67" i="8"/>
  <c r="P46" i="2"/>
  <c r="S40" i="8"/>
  <c r="N43" i="2"/>
  <c r="M52" i="10"/>
  <c r="L56" i="2"/>
  <c r="O42" i="8"/>
  <c r="P59" i="2"/>
  <c r="J46" i="2"/>
  <c r="Q55" i="8"/>
  <c r="R46" i="2"/>
  <c r="M40" i="8"/>
  <c r="U33" i="2"/>
  <c r="P50" i="8"/>
  <c r="M42" i="8"/>
  <c r="T65" i="8"/>
  <c r="I71" i="2"/>
  <c r="T64" i="8"/>
  <c r="P51" i="8"/>
  <c r="P38" i="8"/>
  <c r="I32" i="2"/>
  <c r="K56" i="2"/>
  <c r="U56" i="2"/>
  <c r="P27" i="2"/>
  <c r="G71" i="2"/>
  <c r="H46" i="2"/>
  <c r="L67" i="8"/>
  <c r="O59" i="2"/>
  <c r="O64" i="8"/>
  <c r="N63" i="8"/>
  <c r="U70" i="2"/>
  <c r="K43" i="2"/>
  <c r="N38" i="8"/>
  <c r="I39" i="8"/>
  <c r="G58" i="2"/>
  <c r="T52" i="8"/>
  <c r="J57" i="2"/>
  <c r="I66" i="8"/>
  <c r="L53" i="8"/>
  <c r="P67" i="2"/>
  <c r="L27" i="8"/>
  <c r="P53" i="8"/>
  <c r="K64" i="8"/>
  <c r="J52" i="8"/>
  <c r="O32" i="2"/>
  <c r="N54" i="8"/>
  <c r="T51" i="8"/>
  <c r="J59" i="2"/>
  <c r="Q52" i="10"/>
  <c r="H54" i="8"/>
  <c r="S65" i="8"/>
  <c r="O38" i="8"/>
  <c r="O65" i="8"/>
  <c r="J58" i="2"/>
  <c r="S58" i="2"/>
  <c r="M27" i="8"/>
  <c r="P67" i="8"/>
  <c r="O71" i="2"/>
  <c r="U52" i="8"/>
  <c r="U38" i="8"/>
  <c r="T53" i="8"/>
  <c r="R28" i="8"/>
  <c r="S64" i="8"/>
  <c r="L39" i="8"/>
  <c r="G55" i="8"/>
  <c r="P58" i="2"/>
  <c r="I29" i="8"/>
  <c r="L58" i="2"/>
  <c r="S57" i="2"/>
  <c r="G63" i="8"/>
  <c r="S33" i="2"/>
  <c r="I69" i="2"/>
  <c r="N32" i="2"/>
  <c r="Q70" i="2"/>
  <c r="J65" i="8"/>
  <c r="K58" i="2"/>
  <c r="Q71" i="2"/>
  <c r="I50" i="8"/>
  <c r="K41" i="8"/>
  <c r="R29" i="8"/>
  <c r="L64" i="8"/>
  <c r="T55" i="8"/>
  <c r="O68" i="2"/>
  <c r="H33" i="2"/>
  <c r="U29" i="8"/>
  <c r="Q68" i="2"/>
  <c r="P32" i="2"/>
  <c r="M58" i="2"/>
  <c r="K55" i="2"/>
  <c r="M55" i="2"/>
  <c r="T39" i="8"/>
  <c r="N70" i="2"/>
  <c r="U27" i="2"/>
  <c r="O29" i="8"/>
  <c r="R44" i="2"/>
  <c r="U57" i="2"/>
  <c r="Q50" i="8"/>
  <c r="P71" i="2"/>
  <c r="P55" i="2"/>
  <c r="K29" i="8"/>
  <c r="N46" i="2"/>
  <c r="R33" i="2"/>
  <c r="H64" i="8"/>
  <c r="G55" i="2"/>
  <c r="T45" i="2"/>
  <c r="S51" i="8"/>
  <c r="S67" i="2"/>
  <c r="J41" i="8"/>
  <c r="G70" i="2"/>
  <c r="S32" i="2"/>
  <c r="U28" i="8"/>
  <c r="Q51" i="8"/>
  <c r="N67" i="2"/>
  <c r="Q54" i="8"/>
  <c r="S29" i="8"/>
  <c r="M71" i="2"/>
  <c r="M64" i="8"/>
  <c r="G42" i="8"/>
  <c r="R27" i="2"/>
  <c r="I68" i="2"/>
  <c r="J38" i="8"/>
  <c r="N69" i="2"/>
  <c r="K32" i="2"/>
  <c r="U41" i="8"/>
  <c r="L68" i="2"/>
  <c r="M46" i="2"/>
  <c r="N65" i="8"/>
  <c r="J33" i="2"/>
  <c r="H53" i="8"/>
  <c r="O45" i="2"/>
  <c r="M54" i="8"/>
  <c r="I27" i="8"/>
  <c r="N59" i="2"/>
  <c r="L50" i="8"/>
  <c r="Q41" i="8"/>
  <c r="G69" i="2"/>
  <c r="R38" i="8"/>
  <c r="K38" i="8"/>
  <c r="T33" i="2"/>
  <c r="L55" i="8"/>
  <c r="Q55" i="2"/>
  <c r="T43" i="2"/>
  <c r="O39" i="8"/>
  <c r="M67" i="2"/>
  <c r="H44" i="2"/>
  <c r="K51" i="8"/>
  <c r="T28" i="8"/>
  <c r="O27" i="2"/>
  <c r="M51" i="8"/>
  <c r="R51" i="8"/>
  <c r="L33" i="2"/>
  <c r="P43" i="2"/>
  <c r="S39" i="8"/>
  <c r="I52" i="8"/>
  <c r="U51" i="8"/>
  <c r="O44" i="2"/>
  <c r="J68" i="2"/>
  <c r="S45" i="2"/>
  <c r="I63" i="8"/>
  <c r="H52" i="10"/>
  <c r="N39" i="8"/>
  <c r="T66" i="8"/>
  <c r="R50" i="8"/>
  <c r="U26" i="10"/>
  <c r="G66" i="8"/>
  <c r="U68" i="2"/>
  <c r="R57" i="2"/>
  <c r="Q26" i="10"/>
  <c r="O66" i="8"/>
  <c r="P40" i="8"/>
  <c r="T42" i="8"/>
  <c r="R26" i="10"/>
  <c r="H63" i="8"/>
  <c r="U39" i="8"/>
  <c r="P57" i="2"/>
  <c r="G26" i="10"/>
  <c r="L66" i="2"/>
  <c r="K66" i="2"/>
  <c r="R66" i="2"/>
  <c r="K37" i="8"/>
  <c r="O66" i="2"/>
  <c r="H66" i="2"/>
  <c r="I37" i="8"/>
  <c r="I26" i="2"/>
  <c r="K26" i="2"/>
  <c r="T26" i="2"/>
  <c r="G26" i="2"/>
  <c r="P26" i="2"/>
  <c r="I41" i="8"/>
  <c r="I46" i="2"/>
  <c r="T41" i="8"/>
  <c r="S53" i="8"/>
  <c r="U50" i="8"/>
  <c r="P65" i="8"/>
  <c r="H50" i="8"/>
  <c r="N26" i="10"/>
  <c r="S68" i="2"/>
  <c r="G56" i="2"/>
  <c r="O69" i="2"/>
  <c r="K65" i="8"/>
  <c r="K26" i="10"/>
  <c r="P63" i="8"/>
  <c r="G29" i="8"/>
  <c r="Q63" i="8"/>
  <c r="I26" i="10"/>
  <c r="J32" i="2"/>
  <c r="Q28" i="8"/>
  <c r="K46" i="2"/>
  <c r="N37" i="8"/>
  <c r="T37" i="8"/>
  <c r="U66" i="2"/>
  <c r="S37" i="8"/>
  <c r="O37" i="8"/>
  <c r="G66" i="2"/>
  <c r="I66" i="2"/>
  <c r="T66" i="2"/>
  <c r="Q26" i="2"/>
  <c r="S26" i="2"/>
  <c r="R26" i="2"/>
  <c r="O26" i="2"/>
  <c r="J26" i="2"/>
  <c r="H45" i="2"/>
  <c r="J64" i="8"/>
  <c r="J43" i="2"/>
  <c r="S52" i="8"/>
  <c r="N71" i="2"/>
  <c r="K50" i="8"/>
  <c r="U69" i="2"/>
  <c r="M26" i="10"/>
  <c r="N27" i="2"/>
  <c r="Q27" i="2"/>
  <c r="J55" i="2"/>
  <c r="J26" i="10"/>
  <c r="S69" i="2"/>
  <c r="N28" i="8"/>
  <c r="M29" i="8"/>
  <c r="T71" i="2"/>
  <c r="I42" i="8"/>
  <c r="K39" i="8"/>
  <c r="S41" i="8"/>
  <c r="I54" i="8"/>
  <c r="O26" i="10"/>
  <c r="H37" i="8"/>
  <c r="M66" i="2"/>
  <c r="L37" i="8"/>
  <c r="Q66" i="2"/>
  <c r="P37" i="8"/>
  <c r="M37" i="8"/>
  <c r="S66" i="2"/>
  <c r="H26" i="2"/>
  <c r="L26" i="2"/>
  <c r="R41" i="8"/>
  <c r="I27" i="2"/>
  <c r="S42" i="8"/>
  <c r="S38" i="8"/>
  <c r="G51" i="8"/>
  <c r="I55" i="2"/>
  <c r="J27" i="8"/>
  <c r="P26" i="10"/>
  <c r="J67" i="8"/>
  <c r="U55" i="2"/>
  <c r="K27" i="2"/>
  <c r="L26" i="10"/>
  <c r="L38" i="8"/>
  <c r="G52" i="8"/>
  <c r="U63" i="8"/>
  <c r="T26" i="10"/>
  <c r="S67" i="8"/>
  <c r="T29" i="8"/>
  <c r="M52" i="8"/>
  <c r="S26" i="10"/>
  <c r="G37" i="8"/>
  <c r="J66" i="2"/>
  <c r="J37" i="8"/>
  <c r="N66" i="2"/>
  <c r="U37" i="8"/>
  <c r="P66" i="2"/>
  <c r="R37" i="8"/>
  <c r="Q37" i="8"/>
  <c r="M26" i="2"/>
  <c r="N26" i="2"/>
  <c r="U26" i="2"/>
  <c r="P62" i="8"/>
  <c r="N62" i="8"/>
  <c r="R62" i="8"/>
  <c r="Q62" i="8"/>
  <c r="J62" i="8"/>
  <c r="O62" i="8"/>
  <c r="U62" i="8"/>
  <c r="G62" i="8"/>
  <c r="T62" i="8"/>
  <c r="K62" i="8"/>
  <c r="L62" i="8"/>
  <c r="H62" i="8"/>
  <c r="S62" i="8"/>
  <c r="M62" i="8"/>
  <c r="I62" i="8"/>
  <c r="Q26" i="8"/>
  <c r="P68" i="8" l="1"/>
  <c r="P69" i="8" s="1"/>
  <c r="U34" i="2"/>
  <c r="N34" i="2"/>
  <c r="N36" i="2" s="1"/>
  <c r="M34" i="2"/>
  <c r="M36" i="2" s="1"/>
  <c r="Q43" i="8"/>
  <c r="Q44" i="8" s="1"/>
  <c r="R43" i="8"/>
  <c r="R44" i="8" s="1"/>
  <c r="P72" i="2"/>
  <c r="P73" i="2" s="1"/>
  <c r="U43" i="8"/>
  <c r="U44" i="8" s="1"/>
  <c r="N72" i="2"/>
  <c r="J43" i="8"/>
  <c r="J44" i="8" s="1"/>
  <c r="J72" i="2"/>
  <c r="J73" i="2" s="1"/>
  <c r="G43" i="8"/>
  <c r="G44" i="8" s="1"/>
  <c r="S32" i="10"/>
  <c r="S33" i="10" s="1"/>
  <c r="T32" i="10"/>
  <c r="T33" i="10" s="1"/>
  <c r="L32" i="10"/>
  <c r="L33" i="10" s="1"/>
  <c r="U60" i="2"/>
  <c r="P32" i="10"/>
  <c r="P33" i="10" s="1"/>
  <c r="I60" i="2"/>
  <c r="L34" i="2"/>
  <c r="H34" i="2"/>
  <c r="S72" i="2"/>
  <c r="M43" i="8"/>
  <c r="M44" i="8" s="1"/>
  <c r="P43" i="8"/>
  <c r="P44" i="8" s="1"/>
  <c r="Q72" i="2"/>
  <c r="L43" i="8"/>
  <c r="L44" i="8" s="1"/>
  <c r="M72" i="2"/>
  <c r="H43" i="8"/>
  <c r="H44" i="8" s="1"/>
  <c r="O32" i="10"/>
  <c r="O33" i="10" s="1"/>
  <c r="J32" i="10"/>
  <c r="J33" i="10" s="1"/>
  <c r="J60" i="2"/>
  <c r="M32" i="10"/>
  <c r="M33" i="10" s="1"/>
  <c r="K56" i="8"/>
  <c r="K57" i="8" s="1"/>
  <c r="J47" i="2"/>
  <c r="J49" i="2" s="1"/>
  <c r="J34" i="2"/>
  <c r="O34" i="2"/>
  <c r="R34" i="2"/>
  <c r="S34" i="2"/>
  <c r="Q34" i="2"/>
  <c r="T72" i="2"/>
  <c r="T74" i="2" s="1"/>
  <c r="I72" i="2"/>
  <c r="G72" i="2"/>
  <c r="G73" i="2" s="1"/>
  <c r="O43" i="8"/>
  <c r="O44" i="8" s="1"/>
  <c r="S43" i="8"/>
  <c r="S44" i="8" s="1"/>
  <c r="U72" i="2"/>
  <c r="T43" i="8"/>
  <c r="T44" i="8" s="1"/>
  <c r="N43" i="8"/>
  <c r="N44" i="8" s="1"/>
  <c r="I32" i="10"/>
  <c r="I33" i="10" s="1"/>
  <c r="K32" i="10"/>
  <c r="K33" i="10" s="1"/>
  <c r="N32" i="10"/>
  <c r="N33" i="10" s="1"/>
  <c r="H56" i="8"/>
  <c r="H57" i="8" s="1"/>
  <c r="U56" i="8"/>
  <c r="U57" i="8" s="1"/>
  <c r="P34" i="2"/>
  <c r="G34" i="2"/>
  <c r="T34" i="2"/>
  <c r="K34" i="2"/>
  <c r="I34" i="2"/>
  <c r="I43" i="8"/>
  <c r="I44" i="8" s="1"/>
  <c r="H72" i="2"/>
  <c r="O72" i="2"/>
  <c r="O74" i="2" s="1"/>
  <c r="K43" i="8"/>
  <c r="K44" i="8" s="1"/>
  <c r="R72" i="2"/>
  <c r="R74" i="2" s="1"/>
  <c r="K72" i="2"/>
  <c r="L72" i="2"/>
  <c r="L73" i="2" s="1"/>
  <c r="G32" i="10"/>
  <c r="G33" i="10" s="1"/>
  <c r="R32" i="10"/>
  <c r="R33" i="10" s="1"/>
  <c r="Q32" i="10"/>
  <c r="Q33" i="10" s="1"/>
  <c r="U32" i="10"/>
  <c r="U33" i="10" s="1"/>
  <c r="R56" i="8"/>
  <c r="R57" i="8" s="1"/>
  <c r="H58" i="10"/>
  <c r="H59" i="10" s="1"/>
  <c r="P47" i="2"/>
  <c r="T47" i="2"/>
  <c r="T49" i="2" s="1"/>
  <c r="Q60" i="2"/>
  <c r="L56" i="8"/>
  <c r="L57" i="8" s="1"/>
  <c r="G60" i="2"/>
  <c r="P60" i="2"/>
  <c r="P61" i="2" s="1"/>
  <c r="Q56" i="8"/>
  <c r="Q57" i="8" s="1"/>
  <c r="M60" i="2"/>
  <c r="M61" i="2" s="1"/>
  <c r="K60" i="2"/>
  <c r="I56" i="8"/>
  <c r="I57" i="8" s="1"/>
  <c r="Q58" i="10"/>
  <c r="Q59" i="10" s="1"/>
  <c r="K47" i="2"/>
  <c r="K48" i="2" s="1"/>
  <c r="P56" i="8"/>
  <c r="P57" i="8" s="1"/>
  <c r="M58" i="10"/>
  <c r="M59" i="10" s="1"/>
  <c r="N47" i="2"/>
  <c r="G47" i="2"/>
  <c r="G49" i="2" s="1"/>
  <c r="I58" i="10"/>
  <c r="I59" i="10" s="1"/>
  <c r="H47" i="2"/>
  <c r="H49" i="2" s="1"/>
  <c r="M56" i="8"/>
  <c r="M57" i="8" s="1"/>
  <c r="R60" i="2"/>
  <c r="R62" i="2" s="1"/>
  <c r="L58" i="10"/>
  <c r="L59" i="10" s="1"/>
  <c r="J56" i="8"/>
  <c r="J57" i="8" s="1"/>
  <c r="I47" i="2"/>
  <c r="H32" i="10"/>
  <c r="H33" i="10" s="1"/>
  <c r="S60" i="2"/>
  <c r="G58" i="10"/>
  <c r="G59" i="10" s="1"/>
  <c r="N60" i="2"/>
  <c r="K58" i="10"/>
  <c r="K59" i="10" s="1"/>
  <c r="M47" i="2"/>
  <c r="N56" i="8"/>
  <c r="N57" i="8" s="1"/>
  <c r="P58" i="10"/>
  <c r="P59" i="10" s="1"/>
  <c r="T56" i="8"/>
  <c r="T57" i="8" s="1"/>
  <c r="O60" i="2"/>
  <c r="O56" i="8"/>
  <c r="O57" i="8" s="1"/>
  <c r="S47" i="2"/>
  <c r="L47" i="2"/>
  <c r="L48" i="2" s="1"/>
  <c r="T60" i="2"/>
  <c r="S56" i="8"/>
  <c r="S57" i="8" s="1"/>
  <c r="U47" i="2"/>
  <c r="N58" i="10"/>
  <c r="N59" i="10" s="1"/>
  <c r="L60" i="2"/>
  <c r="O47" i="2"/>
  <c r="O48" i="2" s="1"/>
  <c r="R58" i="10"/>
  <c r="R59" i="10" s="1"/>
  <c r="H60" i="2"/>
  <c r="H62" i="2" s="1"/>
  <c r="S58" i="10"/>
  <c r="S59" i="10" s="1"/>
  <c r="Q47" i="2"/>
  <c r="Q49" i="2" s="1"/>
  <c r="J58" i="10"/>
  <c r="J59" i="10" s="1"/>
  <c r="O58" i="10"/>
  <c r="O59" i="10" s="1"/>
  <c r="G56" i="8"/>
  <c r="G57" i="8" s="1"/>
  <c r="R47" i="2"/>
  <c r="R49" i="2" s="1"/>
  <c r="T58" i="10"/>
  <c r="T59" i="10" s="1"/>
  <c r="N35" i="2"/>
  <c r="L49" i="2"/>
  <c r="R61" i="2"/>
  <c r="O61" i="2"/>
  <c r="O62" i="2"/>
  <c r="K61" i="2"/>
  <c r="K62" i="2"/>
  <c r="G61" i="2"/>
  <c r="G62" i="2"/>
  <c r="U48" i="2"/>
  <c r="U49" i="2"/>
  <c r="J48" i="2"/>
  <c r="I61" i="2"/>
  <c r="I62" i="2"/>
  <c r="J62" i="2"/>
  <c r="J61" i="2"/>
  <c r="J74" i="2"/>
  <c r="N73" i="2"/>
  <c r="N74" i="2"/>
  <c r="P74" i="2"/>
  <c r="M35" i="2"/>
  <c r="S48" i="2"/>
  <c r="S49" i="2"/>
  <c r="Q48" i="2"/>
  <c r="H61" i="2"/>
  <c r="M62" i="2"/>
  <c r="M48" i="2"/>
  <c r="M49" i="2"/>
  <c r="N61" i="2"/>
  <c r="N62" i="2"/>
  <c r="S62" i="2"/>
  <c r="S61" i="2"/>
  <c r="K49" i="2"/>
  <c r="L74" i="2"/>
  <c r="K74" i="2"/>
  <c r="K73" i="2"/>
  <c r="R73" i="2"/>
  <c r="O73" i="2"/>
  <c r="H73" i="2"/>
  <c r="H74" i="2"/>
  <c r="H48" i="2"/>
  <c r="P62" i="2"/>
  <c r="N49" i="2"/>
  <c r="N48" i="2"/>
  <c r="Q61" i="2"/>
  <c r="Q62" i="2"/>
  <c r="P48" i="2"/>
  <c r="P49" i="2"/>
  <c r="U73" i="2"/>
  <c r="U74" i="2"/>
  <c r="G74" i="2"/>
  <c r="I74" i="2"/>
  <c r="I73" i="2"/>
  <c r="T73" i="2"/>
  <c r="T62" i="2"/>
  <c r="T61" i="2"/>
  <c r="O49" i="2"/>
  <c r="L61" i="2"/>
  <c r="L62" i="2"/>
  <c r="G48" i="2"/>
  <c r="T48" i="2"/>
  <c r="I49" i="2"/>
  <c r="I48" i="2"/>
  <c r="U62" i="2"/>
  <c r="U61" i="2"/>
  <c r="M74" i="2"/>
  <c r="M73" i="2"/>
  <c r="Q74" i="2"/>
  <c r="Q73" i="2"/>
  <c r="S73" i="2"/>
  <c r="S74" i="2"/>
  <c r="G68" i="8"/>
  <c r="G69" i="8" s="1"/>
  <c r="N68" i="8"/>
  <c r="N69" i="8" s="1"/>
  <c r="L68" i="8"/>
  <c r="L69" i="8" s="1"/>
  <c r="O68" i="8"/>
  <c r="O69" i="8" s="1"/>
  <c r="M68" i="8"/>
  <c r="M69" i="8" s="1"/>
  <c r="R68" i="8"/>
  <c r="R69" i="8" s="1"/>
  <c r="U68" i="8"/>
  <c r="U69" i="8" s="1"/>
  <c r="Q68" i="8"/>
  <c r="Q69" i="8" s="1"/>
  <c r="K68" i="8"/>
  <c r="K69" i="8" s="1"/>
  <c r="J68" i="8"/>
  <c r="J69" i="8" s="1"/>
  <c r="I68" i="8"/>
  <c r="I69" i="8" s="1"/>
  <c r="S68" i="8"/>
  <c r="S69" i="8" s="1"/>
  <c r="T68" i="8"/>
  <c r="T69" i="8" s="1"/>
  <c r="H68" i="8"/>
  <c r="H69" i="8" s="1"/>
  <c r="Q30" i="8"/>
  <c r="Q31" i="8" s="1"/>
  <c r="L26" i="8"/>
  <c r="J26" i="8"/>
  <c r="G26" i="8"/>
  <c r="T26" i="8"/>
  <c r="P26" i="8"/>
  <c r="N26" i="8"/>
  <c r="M26" i="8"/>
  <c r="S26" i="8"/>
  <c r="U26" i="8"/>
  <c r="H26" i="8"/>
  <c r="O26" i="8"/>
  <c r="K26" i="8"/>
  <c r="R26" i="8"/>
  <c r="I26" i="8"/>
  <c r="R48" i="2" l="1"/>
  <c r="F18" i="3" s="1"/>
  <c r="F20" i="3" s="1"/>
  <c r="F21" i="3" s="1"/>
  <c r="I36" i="2"/>
  <c r="I35" i="2"/>
  <c r="P36" i="2"/>
  <c r="P35" i="2"/>
  <c r="R35" i="2"/>
  <c r="R36" i="2"/>
  <c r="H35" i="2"/>
  <c r="H36" i="2"/>
  <c r="K35" i="2"/>
  <c r="K36" i="2"/>
  <c r="O35" i="2"/>
  <c r="O36" i="2"/>
  <c r="L36" i="2"/>
  <c r="L35" i="2"/>
  <c r="D18" i="3" s="1"/>
  <c r="D20" i="3" s="1"/>
  <c r="D21" i="3" s="1"/>
  <c r="T36" i="2"/>
  <c r="T35" i="2"/>
  <c r="H18" i="3" s="1"/>
  <c r="H20" i="3" s="1"/>
  <c r="H21" i="3" s="1"/>
  <c r="Q36" i="2"/>
  <c r="Q35" i="2"/>
  <c r="J36" i="2"/>
  <c r="J35" i="2"/>
  <c r="K11" i="3" s="1"/>
  <c r="K13" i="3" s="1"/>
  <c r="K14" i="3" s="1"/>
  <c r="U35" i="2"/>
  <c r="U36" i="2"/>
  <c r="G36" i="2"/>
  <c r="G35" i="2"/>
  <c r="S36" i="2"/>
  <c r="S35" i="2"/>
  <c r="G18" i="3" s="1"/>
  <c r="G20" i="3" s="1"/>
  <c r="G21" i="3" s="1"/>
  <c r="D11" i="3"/>
  <c r="D13" i="3" s="1"/>
  <c r="D14" i="3" s="1"/>
  <c r="J11" i="3"/>
  <c r="J13" i="3" s="1"/>
  <c r="J14" i="3" s="1"/>
  <c r="I11" i="3"/>
  <c r="I13" i="3" s="1"/>
  <c r="I14" i="3" s="1"/>
  <c r="E11" i="3"/>
  <c r="E13" i="3" s="1"/>
  <c r="E14" i="3" s="1"/>
  <c r="L11" i="3"/>
  <c r="L13" i="3" s="1"/>
  <c r="L14" i="3" s="1"/>
  <c r="E18" i="3"/>
  <c r="E20" i="3" s="1"/>
  <c r="E21" i="3" s="1"/>
  <c r="H11" i="3"/>
  <c r="H13" i="3" s="1"/>
  <c r="H14" i="3" s="1"/>
  <c r="F11" i="3"/>
  <c r="F13" i="3" s="1"/>
  <c r="F14" i="3" s="1"/>
  <c r="I18" i="3"/>
  <c r="I20" i="3" s="1"/>
  <c r="I21" i="3" s="1"/>
  <c r="G11" i="3"/>
  <c r="G13" i="3" s="1"/>
  <c r="G14" i="3" s="1"/>
  <c r="E18" i="9"/>
  <c r="E20" i="9" s="1"/>
  <c r="E21" i="9" s="1"/>
  <c r="M30" i="8"/>
  <c r="M31" i="8" s="1"/>
  <c r="G11" i="9" s="1"/>
  <c r="G13" i="9" s="1"/>
  <c r="G14" i="9" s="1"/>
  <c r="O30" i="8"/>
  <c r="O31" i="8" s="1"/>
  <c r="I11" i="9" s="1"/>
  <c r="I13" i="9" s="1"/>
  <c r="I14" i="9" s="1"/>
  <c r="U30" i="8"/>
  <c r="U31" i="8" s="1"/>
  <c r="I18" i="9" s="1"/>
  <c r="I20" i="9" s="1"/>
  <c r="I21" i="9" s="1"/>
  <c r="J30" i="8"/>
  <c r="J31" i="8" s="1"/>
  <c r="K11" i="9" s="1"/>
  <c r="K13" i="9" s="1"/>
  <c r="K14" i="9" s="1"/>
  <c r="P30" i="8"/>
  <c r="P31" i="8" s="1"/>
  <c r="J11" i="9" s="1"/>
  <c r="J13" i="9" s="1"/>
  <c r="J14" i="9" s="1"/>
  <c r="R30" i="8"/>
  <c r="R31" i="8" s="1"/>
  <c r="F18" i="9" s="1"/>
  <c r="F20" i="9" s="1"/>
  <c r="F21" i="9" s="1"/>
  <c r="G30" i="8"/>
  <c r="G31" i="8" s="1"/>
  <c r="D11" i="9" s="1"/>
  <c r="D13" i="9" s="1"/>
  <c r="D14" i="9" s="1"/>
  <c r="I30" i="8"/>
  <c r="I31" i="8" s="1"/>
  <c r="F11" i="9" s="1"/>
  <c r="F13" i="9" s="1"/>
  <c r="F14" i="9" s="1"/>
  <c r="S30" i="8"/>
  <c r="S31" i="8" s="1"/>
  <c r="G18" i="9" s="1"/>
  <c r="G20" i="9" s="1"/>
  <c r="G21" i="9" s="1"/>
  <c r="N30" i="8"/>
  <c r="N31" i="8" s="1"/>
  <c r="H11" i="9" s="1"/>
  <c r="H13" i="9" s="1"/>
  <c r="H14" i="9" s="1"/>
  <c r="K30" i="8"/>
  <c r="K31" i="8" s="1"/>
  <c r="L11" i="9" s="1"/>
  <c r="L13" i="9" s="1"/>
  <c r="L14" i="9" s="1"/>
  <c r="H30" i="8"/>
  <c r="H31" i="8" s="1"/>
  <c r="E11" i="9" s="1"/>
  <c r="E13" i="9" s="1"/>
  <c r="E14" i="9" s="1"/>
  <c r="T30" i="8"/>
  <c r="T31" i="8" s="1"/>
  <c r="H18" i="9" s="1"/>
  <c r="H20" i="9" s="1"/>
  <c r="H21" i="9" s="1"/>
  <c r="L30" i="8"/>
  <c r="L31" i="8" s="1"/>
  <c r="D18" i="9" s="1"/>
  <c r="D20" i="9" s="1"/>
  <c r="D2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KingIdol</author>
    <author>Jared.Grigg</author>
  </authors>
  <commentList>
    <comment ref="E1" authorId="0" shapeId="0" xr:uid="{00000000-0006-0000-0100-000001000000}">
      <text>
        <r>
          <rPr>
            <b/>
            <sz val="10"/>
            <color indexed="43"/>
            <rFont val="Tahoma"/>
            <family val="2"/>
          </rPr>
          <t>Enter the percent of the original price: e.g. if there is NO discount, then by default this is 100% or if you want to view the cost showing a 10% discount then the value in this field should be 90%, meaning 90% of the ORIGINAL price.</t>
        </r>
      </text>
    </comment>
    <comment ref="C48" authorId="1" shapeId="0" xr:uid="{00000000-0006-0000-0100-000002000000}">
      <text>
        <r>
          <rPr>
            <b/>
            <sz val="16"/>
            <color indexed="43"/>
            <rFont val="Tahoma"/>
            <family val="2"/>
          </rPr>
          <t>Enter the NAME of a 3rd Party product</t>
        </r>
      </text>
    </comment>
    <comment ref="C49" authorId="1" shapeId="0" xr:uid="{00000000-0006-0000-0100-000003000000}">
      <text>
        <r>
          <rPr>
            <b/>
            <sz val="16"/>
            <color indexed="43"/>
            <rFont val="Tahoma"/>
            <family val="2"/>
          </rPr>
          <t>Enter the NAME of a 3rd Party product</t>
        </r>
      </text>
    </comment>
    <comment ref="C50" authorId="1" shapeId="0" xr:uid="{00000000-0006-0000-0100-000004000000}">
      <text>
        <r>
          <rPr>
            <b/>
            <sz val="16"/>
            <color indexed="43"/>
            <rFont val="Tahoma"/>
            <family val="2"/>
          </rPr>
          <t>Enter the NAME of a 3rd Party product</t>
        </r>
      </text>
    </comment>
    <comment ref="F50" authorId="1" shapeId="0" xr:uid="{00000000-0006-0000-0100-000005000000}">
      <text>
        <r>
          <rPr>
            <b/>
            <sz val="16"/>
            <color indexed="43"/>
            <rFont val="Tahoma"/>
            <family val="2"/>
          </rPr>
          <t>LBS of dry material per BAG</t>
        </r>
      </text>
    </comment>
    <comment ref="H50" authorId="1" shapeId="0" xr:uid="{00000000-0006-0000-0100-000006000000}">
      <text>
        <r>
          <rPr>
            <b/>
            <sz val="16"/>
            <color indexed="43"/>
            <rFont val="Tahoma"/>
            <family val="2"/>
          </rPr>
          <t>kg of dry material per BAG</t>
        </r>
      </text>
    </comment>
    <comment ref="C73" authorId="1" shapeId="0" xr:uid="{00000000-0006-0000-0100-000007000000}">
      <text>
        <r>
          <rPr>
            <b/>
            <sz val="16"/>
            <color indexed="43"/>
            <rFont val="Tahoma"/>
            <family val="2"/>
          </rPr>
          <t>Enter the NAME of a 3rd Party product</t>
        </r>
      </text>
    </comment>
    <comment ref="F73" authorId="1" shapeId="0" xr:uid="{00000000-0006-0000-0100-000008000000}">
      <text>
        <r>
          <rPr>
            <b/>
            <sz val="16"/>
            <color indexed="43"/>
            <rFont val="Tahoma"/>
            <family val="2"/>
          </rPr>
          <t>LBS of dry material per BAG</t>
        </r>
      </text>
    </comment>
    <comment ref="H73" authorId="1" shapeId="0" xr:uid="{00000000-0006-0000-0100-000009000000}">
      <text>
        <r>
          <rPr>
            <b/>
            <sz val="16"/>
            <color indexed="43"/>
            <rFont val="Tahoma"/>
            <family val="2"/>
          </rPr>
          <t>kg of dry material per BAG</t>
        </r>
      </text>
    </comment>
    <comment ref="C74" authorId="1" shapeId="0" xr:uid="{00000000-0006-0000-0100-00000A000000}">
      <text>
        <r>
          <rPr>
            <b/>
            <sz val="16"/>
            <color indexed="43"/>
            <rFont val="Tahoma"/>
            <family val="2"/>
          </rPr>
          <t>Enter the NAME of a 3rd Party product</t>
        </r>
      </text>
    </comment>
    <comment ref="F74" authorId="1" shapeId="0" xr:uid="{00000000-0006-0000-0100-00000B000000}">
      <text>
        <r>
          <rPr>
            <b/>
            <sz val="16"/>
            <color indexed="43"/>
            <rFont val="Tahoma"/>
            <family val="2"/>
          </rPr>
          <t>LBS of dry material per BAG</t>
        </r>
      </text>
    </comment>
    <comment ref="H74" authorId="1" shapeId="0" xr:uid="{00000000-0006-0000-0100-00000C000000}">
      <text>
        <r>
          <rPr>
            <b/>
            <sz val="16"/>
            <color indexed="43"/>
            <rFont val="Tahoma"/>
            <family val="2"/>
          </rPr>
          <t>kg of dry material per BAG</t>
        </r>
      </text>
    </comment>
    <comment ref="C75" authorId="1" shapeId="0" xr:uid="{00000000-0006-0000-0100-00000D000000}">
      <text>
        <r>
          <rPr>
            <b/>
            <sz val="16"/>
            <color indexed="43"/>
            <rFont val="Tahoma"/>
            <family val="2"/>
          </rPr>
          <t>Enter the NAME of a 3rd Party product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KingIdol</author>
  </authors>
  <commentList>
    <comment ref="D9" authorId="0" shapeId="0" xr:uid="{00000000-0006-0000-0200-000001000000}">
      <text>
        <r>
          <rPr>
            <b/>
            <sz val="12"/>
            <color indexed="43"/>
            <rFont val="Tahoma"/>
            <family val="2"/>
          </rPr>
          <t>Enter only one of the following area fields</t>
        </r>
      </text>
    </comment>
    <comment ref="C22" authorId="0" shapeId="0" xr:uid="{00000000-0006-0000-0200-000002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39" authorId="0" shapeId="0" xr:uid="{00000000-0006-0000-0200-000003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52" authorId="0" shapeId="0" xr:uid="{00000000-0006-0000-0200-000004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64" authorId="0" shapeId="0" xr:uid="{00000000-0006-0000-0200-000005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77" authorId="0" shapeId="0" xr:uid="{00000000-0006-0000-0200-000006000000}">
      <text>
        <r>
          <rPr>
            <b/>
            <sz val="12"/>
            <color indexed="43"/>
            <rFont val="Tahoma"/>
            <family val="2"/>
          </rPr>
          <t>Select the Granular Products for Application from the DROP DOWN LIST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KingIdol</author>
  </authors>
  <commentList>
    <comment ref="R15" authorId="0" shapeId="0" xr:uid="{00000000-0006-0000-0300-000001000000}">
      <text>
        <r>
          <rPr>
            <b/>
            <sz val="10"/>
            <color indexed="43"/>
            <rFont val="Tahoma"/>
            <family val="2"/>
          </rPr>
          <t>Enter the DOLLAR amount PER GALLON discount for this bulk package: e.g. if the normal per gal price is $10 and the per gallon price for this bulk package is $8 then enter $2. By default, leave it blank for NO discount.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KingIdol</author>
  </authors>
  <commentList>
    <comment ref="D9" authorId="0" shapeId="0" xr:uid="{00000000-0006-0000-0400-000001000000}">
      <text>
        <r>
          <rPr>
            <b/>
            <sz val="12"/>
            <color indexed="43"/>
            <rFont val="Tahoma"/>
            <family val="2"/>
          </rPr>
          <t xml:space="preserve">Enter </t>
        </r>
        <r>
          <rPr>
            <b/>
            <u/>
            <sz val="12"/>
            <color indexed="43"/>
            <rFont val="Tahoma"/>
            <family val="2"/>
          </rPr>
          <t>only one</t>
        </r>
        <r>
          <rPr>
            <b/>
            <sz val="12"/>
            <color indexed="43"/>
            <rFont val="Tahoma"/>
            <family val="2"/>
          </rPr>
          <t xml:space="preserve"> of the following area fields depending on what you know &amp;
 prefere</t>
        </r>
      </text>
    </comment>
    <comment ref="C22" authorId="0" shapeId="0" xr:uid="{00000000-0006-0000-0400-000002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35" authorId="0" shapeId="0" xr:uid="{00000000-0006-0000-0400-000003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48" authorId="0" shapeId="0" xr:uid="{00000000-0006-0000-0400-000004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60" authorId="0" shapeId="0" xr:uid="{00000000-0006-0000-0400-000005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73" authorId="0" shapeId="0" xr:uid="{00000000-0006-0000-0400-000006000000}">
      <text>
        <r>
          <rPr>
            <b/>
            <sz val="12"/>
            <color indexed="43"/>
            <rFont val="Tahoma"/>
            <family val="2"/>
          </rPr>
          <t>Select the Granular Products for Application from the DROP DOWN LIST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KingIdol</author>
  </authors>
  <commentList>
    <comment ref="R15" authorId="0" shapeId="0" xr:uid="{00000000-0006-0000-0500-000001000000}">
      <text>
        <r>
          <rPr>
            <b/>
            <sz val="10"/>
            <color indexed="43"/>
            <rFont val="Tahoma"/>
            <family val="2"/>
          </rPr>
          <t>Enter the DOLLAR amount PER GALLON discount for this bulk package: e.g. if the normal per gal price is $10 and the per gallon price for this bulk package is $8 then enter $2. By default, leave it blank for NO discount.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KingIdol</author>
  </authors>
  <commentList>
    <comment ref="D9" authorId="0" shapeId="0" xr:uid="{00000000-0006-0000-0600-000001000000}">
      <text>
        <r>
          <rPr>
            <b/>
            <sz val="12"/>
            <color indexed="43"/>
            <rFont val="Tahoma"/>
            <family val="2"/>
          </rPr>
          <t xml:space="preserve">Enter </t>
        </r>
        <r>
          <rPr>
            <b/>
            <u/>
            <sz val="12"/>
            <color indexed="43"/>
            <rFont val="Tahoma"/>
            <family val="2"/>
          </rPr>
          <t>only one</t>
        </r>
        <r>
          <rPr>
            <b/>
            <sz val="12"/>
            <color indexed="43"/>
            <rFont val="Tahoma"/>
            <family val="2"/>
          </rPr>
          <t xml:space="preserve"> of the following area fields depending on what you know &amp;
 prefere</t>
        </r>
      </text>
    </comment>
    <comment ref="C22" authorId="0" shapeId="0" xr:uid="{00000000-0006-0000-0600-000002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37" authorId="0" shapeId="0" xr:uid="{00000000-0006-0000-0600-000003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50" authorId="0" shapeId="0" xr:uid="{00000000-0006-0000-0600-000004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62" authorId="0" shapeId="0" xr:uid="{00000000-0006-0000-0600-000005000000}">
      <text>
        <r>
          <rPr>
            <b/>
            <sz val="12"/>
            <color indexed="43"/>
            <rFont val="Tahoma"/>
            <family val="2"/>
          </rPr>
          <t>Select the Liquid Products for Application from the DROP DOWN LIST</t>
        </r>
      </text>
    </comment>
    <comment ref="C75" authorId="0" shapeId="0" xr:uid="{00000000-0006-0000-0600-000006000000}">
      <text>
        <r>
          <rPr>
            <b/>
            <sz val="12"/>
            <color indexed="43"/>
            <rFont val="Tahoma"/>
            <family val="2"/>
          </rPr>
          <t>Select the Granular Products for Application from the DROP DOWN LIST</t>
        </r>
      </text>
    </comment>
  </commentList>
</comments>
</file>

<file path=xl/sharedStrings.xml><?xml version="1.0" encoding="utf-8"?>
<sst xmlns="http://schemas.openxmlformats.org/spreadsheetml/2006/main" count="994" uniqueCount="320">
  <si>
    <t>N</t>
  </si>
  <si>
    <t>P</t>
  </si>
  <si>
    <t>K</t>
  </si>
  <si>
    <t>Ca</t>
  </si>
  <si>
    <t>Mg</t>
  </si>
  <si>
    <t>S</t>
  </si>
  <si>
    <t>B</t>
  </si>
  <si>
    <t>Cu</t>
  </si>
  <si>
    <t>Fe</t>
  </si>
  <si>
    <t>Mn</t>
  </si>
  <si>
    <t>Zn</t>
  </si>
  <si>
    <t>Si</t>
  </si>
  <si>
    <t>Mo</t>
  </si>
  <si>
    <t>Co</t>
  </si>
  <si>
    <t>pH</t>
  </si>
  <si>
    <r>
      <t>HPO</t>
    </r>
    <r>
      <rPr>
        <b/>
        <vertAlign val="subscript"/>
        <sz val="16"/>
        <color indexed="58"/>
        <rFont val="Arial"/>
        <family val="2"/>
      </rPr>
      <t>3</t>
    </r>
  </si>
  <si>
    <t>ID#</t>
  </si>
  <si>
    <t>315</t>
  </si>
  <si>
    <t>106</t>
  </si>
  <si>
    <t>255</t>
  </si>
  <si>
    <t>285</t>
  </si>
  <si>
    <t>Specific Gravity</t>
  </si>
  <si>
    <t>200</t>
  </si>
  <si>
    <t>141</t>
  </si>
  <si>
    <t>360</t>
  </si>
  <si>
    <t>245</t>
  </si>
  <si>
    <t>185</t>
  </si>
  <si>
    <t>180</t>
  </si>
  <si>
    <t>195</t>
  </si>
  <si>
    <t>196</t>
  </si>
  <si>
    <t>330</t>
  </si>
  <si>
    <t>730</t>
  </si>
  <si>
    <t>225</t>
  </si>
  <si>
    <t>192</t>
  </si>
  <si>
    <t>240</t>
  </si>
  <si>
    <t>300</t>
  </si>
  <si>
    <t>177</t>
  </si>
  <si>
    <t>675</t>
  </si>
  <si>
    <t>855</t>
  </si>
  <si>
    <t>860</t>
  </si>
  <si>
    <t>800</t>
  </si>
  <si>
    <t>840</t>
  </si>
  <si>
    <t>order</t>
  </si>
  <si>
    <t>PREPARED FOR</t>
  </si>
  <si>
    <t>Acres</t>
  </si>
  <si>
    <t>PROGRAM TITLE</t>
  </si>
  <si>
    <t>1220</t>
  </si>
  <si>
    <t>1270</t>
  </si>
  <si>
    <t>1200</t>
  </si>
  <si>
    <t>1340</t>
  </si>
  <si>
    <t>1240</t>
  </si>
  <si>
    <t>1320</t>
  </si>
  <si>
    <t>1360</t>
  </si>
  <si>
    <t>1370</t>
  </si>
  <si>
    <t>2020</t>
  </si>
  <si>
    <t>2000</t>
  </si>
  <si>
    <t xml:space="preserve"> FT² </t>
  </si>
  <si>
    <t xml:space="preserve">Acre </t>
  </si>
  <si>
    <t>***</t>
  </si>
  <si>
    <t>Custom Granular 2</t>
  </si>
  <si>
    <t>KNOWN      APPLICATION AREA</t>
  </si>
  <si>
    <r>
      <t>Ft</t>
    </r>
    <r>
      <rPr>
        <b/>
        <vertAlign val="superscript"/>
        <sz val="9"/>
        <rFont val="Arial"/>
        <family val="2"/>
      </rPr>
      <t>2</t>
    </r>
  </si>
  <si>
    <r>
      <t>HPO</t>
    </r>
    <r>
      <rPr>
        <b/>
        <vertAlign val="subscript"/>
        <sz val="14"/>
        <rFont val="Arial"/>
        <family val="2"/>
      </rPr>
      <t>3</t>
    </r>
  </si>
  <si>
    <r>
      <t>LBS of Nutrient per 1,000 FT</t>
    </r>
    <r>
      <rPr>
        <b/>
        <vertAlign val="superscript"/>
        <sz val="14"/>
        <rFont val="Arial"/>
        <family val="2"/>
      </rPr>
      <t>2</t>
    </r>
  </si>
  <si>
    <t>RATE</t>
  </si>
  <si>
    <t>OTHER PROGRAM DETAILS</t>
  </si>
  <si>
    <t>MIX #1</t>
  </si>
  <si>
    <t>MIX #2</t>
  </si>
  <si>
    <t>PROGRAM:</t>
  </si>
  <si>
    <t>GRANULARS</t>
  </si>
  <si>
    <t>LIQUIDS</t>
  </si>
  <si>
    <t>Program Total oz</t>
  </si>
  <si>
    <t>Total Coverage Area per Application:</t>
  </si>
  <si>
    <r>
      <t>FT</t>
    </r>
    <r>
      <rPr>
        <vertAlign val="superscript"/>
        <sz val="10"/>
        <color theme="1"/>
        <rFont val="Arial"/>
        <family val="2"/>
      </rPr>
      <t>2</t>
    </r>
  </si>
  <si>
    <t>ACRES</t>
  </si>
  <si>
    <t>START DATE</t>
  </si>
  <si>
    <t>END DATE</t>
  </si>
  <si>
    <t>PREPARED FOR:</t>
  </si>
  <si>
    <t>DAYS</t>
  </si>
  <si>
    <t>Spray Frequency:</t>
  </si>
  <si>
    <t>DURATION:</t>
  </si>
  <si>
    <t>Abt. Every</t>
  </si>
  <si>
    <t>Spreader Frequency:</t>
  </si>
  <si>
    <t>Gallons Needed</t>
  </si>
  <si>
    <t>Cost / Acre</t>
  </si>
  <si>
    <t>Program Cost</t>
  </si>
  <si>
    <t>Cost / App</t>
  </si>
  <si>
    <t>Total Tank Loads / Program:</t>
  </si>
  <si>
    <t>Total Tank Loads / Application:</t>
  </si>
  <si>
    <t>Total Spreader Loads / Application:</t>
  </si>
  <si>
    <t>Total Spreader Loads / Program:</t>
  </si>
  <si>
    <t>Total Spray Apps / Program:</t>
  </si>
  <si>
    <t>Total Spreader Apps / Program:</t>
  </si>
  <si>
    <t>Total Program Cost</t>
  </si>
  <si>
    <r>
      <t>Sub-Total</t>
    </r>
    <r>
      <rPr>
        <b/>
        <i/>
        <sz val="12"/>
        <color indexed="58"/>
        <rFont val="Arial"/>
        <family val="2"/>
      </rPr>
      <t>:</t>
    </r>
  </si>
  <si>
    <t>Total Liquid Cost</t>
  </si>
  <si>
    <t>Total Granular Cost</t>
  </si>
  <si>
    <t>15 gal Drum:</t>
  </si>
  <si>
    <t>30 gal Drum:</t>
  </si>
  <si>
    <t>55 gal Drum:</t>
  </si>
  <si>
    <t>270 gal Tote:</t>
  </si>
  <si>
    <t>MIX #3</t>
  </si>
  <si>
    <r>
      <t>HPO</t>
    </r>
    <r>
      <rPr>
        <b/>
        <vertAlign val="subscript"/>
        <sz val="12"/>
        <rFont val="Arial"/>
        <family val="2"/>
      </rPr>
      <t>3</t>
    </r>
  </si>
  <si>
    <t>Liquid</t>
  </si>
  <si>
    <t>Granular</t>
  </si>
  <si>
    <t>Combined</t>
  </si>
  <si>
    <t>lbs / ACRE:</t>
  </si>
  <si>
    <t>Target</t>
  </si>
  <si>
    <t>NUTRIENT CONTENT / PERCENT of VOLUME</t>
  </si>
  <si>
    <t>MIX #4</t>
  </si>
  <si>
    <r>
      <t>Entire Program Nutrient Concentrations :: lbs / 1,000 FT</t>
    </r>
    <r>
      <rPr>
        <b/>
        <vertAlign val="superscript"/>
        <sz val="12"/>
        <color theme="1"/>
        <rFont val="Arial"/>
        <family val="2"/>
      </rPr>
      <t>2</t>
    </r>
  </si>
  <si>
    <r>
      <rPr>
        <b/>
        <sz val="14"/>
        <color indexed="58"/>
        <rFont val="Arial"/>
        <family val="2"/>
      </rPr>
      <t>lbs</t>
    </r>
    <r>
      <rPr>
        <b/>
        <sz val="11"/>
        <color indexed="58"/>
        <rFont val="Arial"/>
        <family val="2"/>
      </rPr>
      <t xml:space="preserve"> per 
1 </t>
    </r>
    <r>
      <rPr>
        <b/>
        <sz val="14"/>
        <color indexed="58"/>
        <rFont val="Arial"/>
        <family val="2"/>
      </rPr>
      <t>bag</t>
    </r>
  </si>
  <si>
    <r>
      <rPr>
        <sz val="11"/>
        <rFont val="Arial"/>
        <family val="2"/>
      </rPr>
      <t xml:space="preserve">Total Applications of </t>
    </r>
    <r>
      <rPr>
        <b/>
        <sz val="11"/>
        <rFont val="Arial"/>
        <family val="2"/>
      </rPr>
      <t>Mix #1</t>
    </r>
    <r>
      <rPr>
        <sz val="11"/>
        <rFont val="Arial"/>
        <family val="2"/>
      </rPr>
      <t>?</t>
    </r>
  </si>
  <si>
    <r>
      <rPr>
        <sz val="11"/>
        <rFont val="Arial"/>
        <family val="2"/>
      </rPr>
      <t xml:space="preserve">Total Applications of </t>
    </r>
    <r>
      <rPr>
        <b/>
        <sz val="11"/>
        <rFont val="Arial"/>
        <family val="2"/>
      </rPr>
      <t>Mix #2</t>
    </r>
    <r>
      <rPr>
        <sz val="11"/>
        <rFont val="Arial"/>
        <family val="2"/>
      </rPr>
      <t>?</t>
    </r>
  </si>
  <si>
    <r>
      <rPr>
        <sz val="11"/>
        <rFont val="Arial"/>
        <family val="2"/>
      </rPr>
      <t xml:space="preserve">Total Applications of </t>
    </r>
    <r>
      <rPr>
        <b/>
        <sz val="11"/>
        <rFont val="Arial"/>
        <family val="2"/>
      </rPr>
      <t>Mix #3</t>
    </r>
    <r>
      <rPr>
        <sz val="11"/>
        <rFont val="Arial"/>
        <family val="2"/>
      </rPr>
      <t>?</t>
    </r>
  </si>
  <si>
    <r>
      <rPr>
        <sz val="11"/>
        <rFont val="Arial"/>
        <family val="2"/>
      </rPr>
      <t xml:space="preserve">Total Applications of </t>
    </r>
    <r>
      <rPr>
        <b/>
        <sz val="11"/>
        <rFont val="Arial"/>
        <family val="2"/>
      </rPr>
      <t>Mix #4</t>
    </r>
    <r>
      <rPr>
        <sz val="11"/>
        <rFont val="Arial"/>
        <family val="2"/>
      </rPr>
      <t>?</t>
    </r>
  </si>
  <si>
    <t xml:space="preserve"> conversion of area </t>
  </si>
  <si>
    <t>ACRES covered in 1 tank load?</t>
  </si>
  <si>
    <t>ACRES covered in 1 spreader load?</t>
  </si>
  <si>
    <r>
      <t>oz / 1,000 FT</t>
    </r>
    <r>
      <rPr>
        <b/>
        <vertAlign val="superscript"/>
        <sz val="9"/>
        <color indexed="10"/>
        <rFont val="Arial"/>
        <family val="2"/>
      </rPr>
      <t>2</t>
    </r>
  </si>
  <si>
    <r>
      <t>lbs / 1,000 FT</t>
    </r>
    <r>
      <rPr>
        <b/>
        <vertAlign val="superscript"/>
        <sz val="9"/>
        <color indexed="10"/>
        <rFont val="Arial"/>
        <family val="2"/>
      </rPr>
      <t>2</t>
    </r>
  </si>
  <si>
    <t>% of MSRP</t>
  </si>
  <si>
    <t>Cost / gal</t>
  </si>
  <si>
    <t>Mix-1 Sub-Total:</t>
  </si>
  <si>
    <t>Global Discount:</t>
  </si>
  <si>
    <t>1k lb Tote:</t>
  </si>
  <si>
    <t>2k lb Tote:</t>
  </si>
  <si>
    <t>15 gal Drums &amp;      Cost Equivalent</t>
  </si>
  <si>
    <t>30 gal Drums &amp;      Cost Equivalent</t>
  </si>
  <si>
    <t>55 gal Drums &amp;      Cost Equivalent</t>
  </si>
  <si>
    <t>270 gal Totes &amp;      Cost Equivalent</t>
  </si>
  <si>
    <r>
      <rPr>
        <b/>
        <i/>
        <sz val="9"/>
        <color indexed="58"/>
        <rFont val="Arial"/>
        <family val="2"/>
      </rPr>
      <t>WHOLE</t>
    </r>
    <r>
      <rPr>
        <b/>
        <i/>
        <sz val="11"/>
        <color indexed="58"/>
        <rFont val="Arial"/>
        <family val="2"/>
      </rPr>
      <t xml:space="preserve"> 5 gal Cases   &amp;   Case Cost</t>
    </r>
  </si>
  <si>
    <t>Cost / lb</t>
  </si>
  <si>
    <t>Program Total lbs</t>
  </si>
  <si>
    <t>1,000 lb Tote Bags &amp; Cost Equivalent</t>
  </si>
  <si>
    <t>2,000 lb Tote Bags &amp; Cost Equivalent</t>
  </si>
  <si>
    <r>
      <rPr>
        <b/>
        <i/>
        <sz val="9"/>
        <color indexed="58"/>
        <rFont val="Arial"/>
        <family val="2"/>
      </rPr>
      <t>WHOLE</t>
    </r>
    <r>
      <rPr>
        <b/>
        <i/>
        <sz val="11"/>
        <color indexed="58"/>
        <rFont val="Arial"/>
        <family val="2"/>
      </rPr>
      <t xml:space="preserve"> Bags             &amp; Bag Cost</t>
    </r>
  </si>
  <si>
    <t>Custom Granular 1</t>
  </si>
  <si>
    <t>Custom Liquid 2</t>
  </si>
  <si>
    <r>
      <t xml:space="preserve">Sub-Total </t>
    </r>
    <r>
      <rPr>
        <sz val="10"/>
        <color indexed="58"/>
        <rFont val="Arial"/>
        <family val="2"/>
      </rPr>
      <t>(Each Application)</t>
    </r>
    <r>
      <rPr>
        <b/>
        <i/>
        <sz val="12"/>
        <color indexed="58"/>
        <rFont val="Arial"/>
        <family val="2"/>
      </rPr>
      <t>:</t>
    </r>
  </si>
  <si>
    <r>
      <rPr>
        <b/>
        <i/>
        <sz val="12"/>
        <color indexed="58"/>
        <rFont val="Arial"/>
        <family val="2"/>
      </rPr>
      <t xml:space="preserve">lbs / ACRE </t>
    </r>
    <r>
      <rPr>
        <sz val="10"/>
        <color indexed="58"/>
        <rFont val="Arial"/>
        <family val="2"/>
      </rPr>
      <t>(Each Application)</t>
    </r>
    <r>
      <rPr>
        <b/>
        <i/>
        <sz val="12"/>
        <color indexed="58"/>
        <rFont val="Arial"/>
        <family val="2"/>
      </rPr>
      <t>:</t>
    </r>
  </si>
  <si>
    <t>Program Sub-Total:</t>
  </si>
  <si>
    <t>Custom Liquid 1</t>
  </si>
  <si>
    <t>Ph RANGE Scale</t>
  </si>
  <si>
    <t>lbs</t>
  </si>
  <si>
    <t>kg</t>
  </si>
  <si>
    <t>&lt; Pure Base</t>
  </si>
  <si>
    <t>&lt; Pure Acid</t>
  </si>
  <si>
    <t>The cells on each sheet are locked by default to protect the integrity of the workbook.</t>
  </si>
  <si>
    <r>
      <t xml:space="preserve">The background color of the fields in column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 on the PRODUCT DATA sheet is set automatically based on the value (Ph), using the scale below.</t>
    </r>
  </si>
  <si>
    <t xml:space="preserve"> All other values are automatically calculated based on the variables in "yellow" cells on all worksheets</t>
  </si>
  <si>
    <t>ONLY cells that are filled with light yellow are available to input data. Example &gt;&gt;</t>
  </si>
  <si>
    <t>•</t>
  </si>
  <si>
    <t>lbs per 
1.00 gal</t>
  </si>
  <si>
    <t>lbs per 
2.50 gal</t>
  </si>
  <si>
    <t>(optional)</t>
  </si>
  <si>
    <t>NOTES / COMMENTS</t>
  </si>
  <si>
    <r>
      <rPr>
        <i/>
        <sz val="14"/>
        <color rgb="FF0070C0"/>
        <rFont val="Arial"/>
        <family val="2"/>
      </rPr>
      <t>ENTIRE PROGRAM Nutrient TARGET Concentrations / LBS per 1,000 FT</t>
    </r>
    <r>
      <rPr>
        <i/>
        <vertAlign val="superscript"/>
        <sz val="14"/>
        <color rgb="FF0070C0"/>
        <rFont val="Arial"/>
        <family val="2"/>
      </rPr>
      <t>2</t>
    </r>
    <r>
      <rPr>
        <b/>
        <i/>
        <sz val="12"/>
        <color rgb="FF0070C0"/>
        <rFont val="Arial"/>
        <family val="2"/>
      </rPr>
      <t xml:space="preserve"> </t>
    </r>
    <r>
      <rPr>
        <sz val="10"/>
        <color rgb="FFFF0000"/>
        <rFont val="Arial"/>
        <family val="2"/>
      </rPr>
      <t>(optional)</t>
    </r>
  </si>
  <si>
    <t>L</t>
  </si>
  <si>
    <t>Conversion Calculator</t>
  </si>
  <si>
    <t>lb</t>
  </si>
  <si>
    <t>gal</t>
  </si>
  <si>
    <t>Hectare</t>
  </si>
  <si>
    <t xml:space="preserve">Hectare </t>
  </si>
  <si>
    <t>1 ACRE is:</t>
  </si>
  <si>
    <r>
      <t>FT</t>
    </r>
    <r>
      <rPr>
        <vertAlign val="superscript"/>
        <sz val="12"/>
        <color theme="1"/>
        <rFont val="Arial"/>
        <family val="2"/>
      </rPr>
      <t>2</t>
    </r>
  </si>
  <si>
    <r>
      <t>1,000 Square Feet (FT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 is:</t>
    </r>
  </si>
  <si>
    <r>
      <t>m</t>
    </r>
    <r>
      <rPr>
        <vertAlign val="superscript"/>
        <sz val="12"/>
        <color theme="1"/>
        <rFont val="Arial"/>
        <family val="2"/>
      </rPr>
      <t>2</t>
    </r>
  </si>
  <si>
    <r>
      <t>m</t>
    </r>
    <r>
      <rPr>
        <b/>
        <vertAlign val="superscript"/>
        <sz val="9"/>
        <rFont val="Arial"/>
        <family val="2"/>
      </rPr>
      <t>2</t>
    </r>
  </si>
  <si>
    <r>
      <t xml:space="preserve">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</t>
    </r>
  </si>
  <si>
    <t>If actual is &gt;= 95% of target</t>
  </si>
  <si>
    <t>If actual is &gt;= 90% of target</t>
  </si>
  <si>
    <t>If actual is &gt;= 85% of target</t>
  </si>
  <si>
    <t>If actual is &gt;= 80% of target</t>
  </si>
  <si>
    <t>If actual is &lt; 80% of target</t>
  </si>
  <si>
    <t>If you select a nutrient TARGET, the Program combined nutrients will be compared to the input target. Use the KEY below for a symbol guide on the PROGRAM ANALYSIS sheet.</t>
  </si>
  <si>
    <t>Case Adjusted:</t>
  </si>
  <si>
    <t>Product weight is a calculation based on the relative density to water (Specific Gravity).</t>
  </si>
  <si>
    <t>Custom SOLUBLE 1</t>
  </si>
  <si>
    <t xml:space="preserve"> SOLUBLE #1</t>
  </si>
  <si>
    <r>
      <t xml:space="preserve">Total Applications of </t>
    </r>
    <r>
      <rPr>
        <b/>
        <sz val="11"/>
        <rFont val="Arial"/>
        <family val="2"/>
      </rPr>
      <t>Granular #1</t>
    </r>
    <r>
      <rPr>
        <sz val="11"/>
        <rFont val="Arial"/>
        <family val="2"/>
      </rPr>
      <t>?</t>
    </r>
  </si>
  <si>
    <r>
      <t xml:space="preserve">Total Applications of </t>
    </r>
    <r>
      <rPr>
        <b/>
        <sz val="11"/>
        <rFont val="Arial"/>
        <family val="2"/>
      </rPr>
      <t>Granular #2</t>
    </r>
    <r>
      <rPr>
        <sz val="11"/>
        <rFont val="Arial"/>
        <family val="2"/>
      </rPr>
      <t>?</t>
    </r>
  </si>
  <si>
    <r>
      <t xml:space="preserve">Total Applications of </t>
    </r>
    <r>
      <rPr>
        <b/>
        <sz val="11"/>
        <rFont val="Arial"/>
        <family val="2"/>
      </rPr>
      <t>Granular #3</t>
    </r>
    <r>
      <rPr>
        <sz val="11"/>
        <rFont val="Arial"/>
        <family val="2"/>
      </rPr>
      <t>?</t>
    </r>
  </si>
  <si>
    <r>
      <t xml:space="preserve">Total Applications of </t>
    </r>
    <r>
      <rPr>
        <b/>
        <sz val="11"/>
        <color theme="7" tint="-0.249977111117893"/>
        <rFont val="Arial"/>
        <family val="2"/>
      </rPr>
      <t>Soluble #1</t>
    </r>
    <r>
      <rPr>
        <sz val="11"/>
        <rFont val="Arial"/>
        <family val="2"/>
      </rPr>
      <t>?</t>
    </r>
  </si>
  <si>
    <t>SOLUBLE #1</t>
  </si>
  <si>
    <t>GRANULAR #1</t>
  </si>
  <si>
    <t>GRANULAR #2</t>
  </si>
  <si>
    <t>GRANULAR #3</t>
  </si>
  <si>
    <t>Area Conversion Calculator</t>
  </si>
  <si>
    <t>210</t>
  </si>
  <si>
    <t>256</t>
  </si>
  <si>
    <t>865</t>
  </si>
  <si>
    <t>Gary's Green®</t>
  </si>
  <si>
    <t>Ultraplex® Plus</t>
  </si>
  <si>
    <t>Ultraplex®</t>
  </si>
  <si>
    <t>216</t>
  </si>
  <si>
    <t>201</t>
  </si>
  <si>
    <t>600</t>
  </si>
  <si>
    <r>
      <t>Program Sub-Total</t>
    </r>
    <r>
      <rPr>
        <b/>
        <i/>
        <sz val="10"/>
        <color indexed="58"/>
        <rFont val="Arial"/>
        <family val="2"/>
      </rPr>
      <t>:</t>
    </r>
  </si>
  <si>
    <t>*</t>
  </si>
  <si>
    <t>Unit Adjusted:</t>
  </si>
  <si>
    <t>Bag Adjusted:</t>
  </si>
  <si>
    <t>650</t>
  </si>
  <si>
    <t>178</t>
  </si>
  <si>
    <t xml:space="preserve">MIX #4    </t>
  </si>
  <si>
    <t>There are Two (2) variable products for both Liquid &amp; granular to allow for the addition of 3rd party products.</t>
  </si>
  <si>
    <r>
      <rPr>
        <b/>
        <sz val="14"/>
        <color indexed="58"/>
        <rFont val="Arial"/>
        <family val="2"/>
      </rPr>
      <t>kg</t>
    </r>
    <r>
      <rPr>
        <b/>
        <sz val="11"/>
        <color indexed="58"/>
        <rFont val="Arial"/>
        <family val="2"/>
      </rPr>
      <t xml:space="preserve"> per     1.</t>
    </r>
    <r>
      <rPr>
        <sz val="11"/>
        <color indexed="58"/>
        <rFont val="Arial"/>
        <family val="2"/>
      </rPr>
      <t>00</t>
    </r>
    <r>
      <rPr>
        <b/>
        <sz val="11"/>
        <color indexed="58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L</t>
    </r>
  </si>
  <si>
    <r>
      <rPr>
        <b/>
        <sz val="14"/>
        <color indexed="58"/>
        <rFont val="Arial"/>
        <family val="2"/>
      </rPr>
      <t>kg</t>
    </r>
    <r>
      <rPr>
        <b/>
        <sz val="11"/>
        <color indexed="58"/>
        <rFont val="Arial"/>
        <family val="2"/>
      </rPr>
      <t xml:space="preserve"> per     10.</t>
    </r>
    <r>
      <rPr>
        <sz val="11"/>
        <color indexed="58"/>
        <rFont val="Arial"/>
        <family val="2"/>
      </rPr>
      <t>00</t>
    </r>
    <r>
      <rPr>
        <b/>
        <sz val="11"/>
        <color indexed="58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L</t>
    </r>
  </si>
  <si>
    <t>MSRP per gal or L</t>
  </si>
  <si>
    <r>
      <t>P</t>
    </r>
    <r>
      <rPr>
        <b/>
        <vertAlign val="subscript"/>
        <sz val="16"/>
        <color indexed="58"/>
        <rFont val="Arial"/>
        <family val="2"/>
      </rPr>
      <t>2</t>
    </r>
    <r>
      <rPr>
        <b/>
        <sz val="16"/>
        <color indexed="58"/>
        <rFont val="Arial"/>
        <family val="2"/>
      </rPr>
      <t>O</t>
    </r>
    <r>
      <rPr>
        <b/>
        <vertAlign val="subscript"/>
        <sz val="16"/>
        <color indexed="58"/>
        <rFont val="Arial"/>
        <family val="2"/>
      </rPr>
      <t>5</t>
    </r>
  </si>
  <si>
    <r>
      <t>K</t>
    </r>
    <r>
      <rPr>
        <b/>
        <vertAlign val="subscript"/>
        <sz val="16"/>
        <color indexed="58"/>
        <rFont val="Arial"/>
        <family val="2"/>
      </rPr>
      <t>2</t>
    </r>
    <r>
      <rPr>
        <b/>
        <sz val="16"/>
        <color indexed="58"/>
        <rFont val="Arial"/>
        <family val="2"/>
      </rPr>
      <t>O</t>
    </r>
  </si>
  <si>
    <r>
      <rPr>
        <sz val="11"/>
        <color indexed="58"/>
        <rFont val="Arial"/>
        <family val="2"/>
      </rPr>
      <t>Elemental</t>
    </r>
    <r>
      <rPr>
        <b/>
        <sz val="16"/>
        <color indexed="58"/>
        <rFont val="Arial"/>
        <family val="2"/>
      </rPr>
      <t>P</t>
    </r>
  </si>
  <si>
    <r>
      <rPr>
        <sz val="11"/>
        <color indexed="58"/>
        <rFont val="Arial"/>
        <family val="2"/>
      </rPr>
      <t xml:space="preserve">Total </t>
    </r>
    <r>
      <rPr>
        <sz val="12"/>
        <color indexed="58"/>
        <rFont val="Arial"/>
        <family val="2"/>
      </rPr>
      <t xml:space="preserve">      </t>
    </r>
    <r>
      <rPr>
        <b/>
        <sz val="16"/>
        <color indexed="58"/>
        <rFont val="Arial"/>
        <family val="2"/>
      </rPr>
      <t>N</t>
    </r>
  </si>
  <si>
    <r>
      <rPr>
        <b/>
        <sz val="14"/>
        <color indexed="58"/>
        <rFont val="Arial"/>
        <family val="2"/>
      </rPr>
      <t>kg</t>
    </r>
    <r>
      <rPr>
        <b/>
        <sz val="11"/>
        <color indexed="58"/>
        <rFont val="Arial"/>
        <family val="2"/>
      </rPr>
      <t xml:space="preserve"> per 
1 </t>
    </r>
    <r>
      <rPr>
        <b/>
        <sz val="14"/>
        <color indexed="58"/>
        <rFont val="Arial"/>
        <family val="2"/>
      </rPr>
      <t>bag</t>
    </r>
  </si>
  <si>
    <r>
      <rPr>
        <b/>
        <sz val="14"/>
        <color indexed="58"/>
        <rFont val="Arial"/>
        <family val="2"/>
      </rPr>
      <t>lbs</t>
    </r>
    <r>
      <rPr>
        <b/>
        <sz val="11"/>
        <color indexed="58"/>
        <rFont val="Arial"/>
        <family val="2"/>
      </rPr>
      <t xml:space="preserve"> per 
1.</t>
    </r>
    <r>
      <rPr>
        <sz val="11"/>
        <color indexed="58"/>
        <rFont val="Arial"/>
        <family val="2"/>
      </rPr>
      <t>00</t>
    </r>
    <r>
      <rPr>
        <b/>
        <sz val="11"/>
        <color indexed="58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gal</t>
    </r>
  </si>
  <si>
    <r>
      <t>kg per    1.</t>
    </r>
    <r>
      <rPr>
        <sz val="11"/>
        <rFont val="Arial"/>
        <family val="2"/>
      </rPr>
      <t>00</t>
    </r>
    <r>
      <rPr>
        <b/>
        <sz val="11"/>
        <rFont val="Arial"/>
        <family val="2"/>
      </rPr>
      <t xml:space="preserve"> L</t>
    </r>
  </si>
  <si>
    <t>kg per    3.785306 L</t>
  </si>
  <si>
    <r>
      <t>kg per    10.</t>
    </r>
    <r>
      <rPr>
        <sz val="11"/>
        <rFont val="Arial"/>
        <family val="2"/>
      </rPr>
      <t>00</t>
    </r>
    <r>
      <rPr>
        <b/>
        <sz val="11"/>
        <rFont val="Arial"/>
        <family val="2"/>
      </rPr>
      <t xml:space="preserve"> L</t>
    </r>
  </si>
  <si>
    <t>One (1) US pound (lb) is:</t>
  </si>
  <si>
    <t>One (1) US gallon (gal) is:</t>
  </si>
  <si>
    <t>Weight of 1 US gal Water:</t>
  </si>
  <si>
    <t>Specific Gravity (sg) of Water:</t>
  </si>
  <si>
    <t>IF you need to reverse engineer a weight or SG use the calculator below:</t>
  </si>
  <si>
    <t>GENERAL ASSUMPTIONS used throughout this workbook</t>
  </si>
  <si>
    <r>
      <rPr>
        <b/>
        <sz val="14"/>
        <color indexed="58"/>
        <rFont val="Arial"/>
        <family val="2"/>
      </rPr>
      <t>lbs</t>
    </r>
    <r>
      <rPr>
        <b/>
        <sz val="11"/>
        <color indexed="58"/>
        <rFont val="Arial"/>
        <family val="2"/>
      </rPr>
      <t xml:space="preserve"> per 
2.50 gal jug</t>
    </r>
  </si>
  <si>
    <t>MSRP   per bag</t>
  </si>
  <si>
    <r>
      <rPr>
        <b/>
        <sz val="14"/>
        <color indexed="58"/>
        <rFont val="Arial"/>
        <family val="2"/>
      </rPr>
      <t>kg</t>
    </r>
    <r>
      <rPr>
        <b/>
        <sz val="11"/>
        <color indexed="58"/>
        <rFont val="Arial"/>
        <family val="2"/>
      </rPr>
      <t xml:space="preserve"> per     </t>
    </r>
    <r>
      <rPr>
        <b/>
        <sz val="10"/>
        <color indexed="58"/>
        <rFont val="Arial"/>
        <family val="2"/>
      </rPr>
      <t>3.785306</t>
    </r>
    <r>
      <rPr>
        <b/>
        <sz val="11"/>
        <color indexed="58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L</t>
    </r>
  </si>
  <si>
    <r>
      <rPr>
        <sz val="10"/>
        <color indexed="58"/>
        <rFont val="Arial"/>
        <family val="2"/>
      </rPr>
      <t>Elemental</t>
    </r>
    <r>
      <rPr>
        <sz val="11"/>
        <color indexed="58"/>
        <rFont val="Arial"/>
        <family val="2"/>
      </rPr>
      <t xml:space="preserve"> </t>
    </r>
    <r>
      <rPr>
        <b/>
        <sz val="16"/>
        <color indexed="58"/>
        <rFont val="Arial"/>
        <family val="2"/>
      </rPr>
      <t>P</t>
    </r>
  </si>
  <si>
    <r>
      <rPr>
        <sz val="10"/>
        <color indexed="58"/>
        <rFont val="Arial"/>
        <family val="2"/>
      </rPr>
      <t xml:space="preserve">Elemental </t>
    </r>
    <r>
      <rPr>
        <b/>
        <sz val="16"/>
        <color indexed="58"/>
        <rFont val="Arial"/>
        <family val="2"/>
      </rPr>
      <t>K</t>
    </r>
  </si>
  <si>
    <r>
      <t>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5</t>
    </r>
  </si>
  <si>
    <r>
      <t>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</si>
  <si>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t>PROGRAMME TITLE</t>
  </si>
  <si>
    <t>Hectares</t>
  </si>
  <si>
    <t xml:space="preserve"> m² </t>
  </si>
  <si>
    <t>HECTARES covered in 1 tank load?</t>
  </si>
  <si>
    <t>HECTARES covered in 1 spreader load?</t>
  </si>
  <si>
    <t>OTHER PROGRAMME DETAILS</t>
  </si>
  <si>
    <t>for use with "APPLICATION DATA - standard"</t>
  </si>
  <si>
    <t>standard US measurments</t>
  </si>
  <si>
    <t>metric measurments</t>
  </si>
  <si>
    <t>Kg of Nutrient per Ha</t>
  </si>
  <si>
    <t>L / Ha</t>
  </si>
  <si>
    <r>
      <rPr>
        <i/>
        <sz val="14"/>
        <color rgb="FF0070C0"/>
        <rFont val="Arial"/>
        <family val="2"/>
      </rPr>
      <t>ENTIRE PROGRAMME Nutrient TARGET Concentrations / Kg per Hectare</t>
    </r>
    <r>
      <rPr>
        <b/>
        <i/>
        <sz val="12"/>
        <color rgb="FF0070C0"/>
        <rFont val="Arial"/>
        <family val="2"/>
      </rPr>
      <t xml:space="preserve"> </t>
    </r>
    <r>
      <rPr>
        <sz val="10"/>
        <color rgb="FFFF0000"/>
        <rFont val="Arial"/>
        <family val="2"/>
      </rPr>
      <t>(optional)</t>
    </r>
  </si>
  <si>
    <t>NOTES:</t>
  </si>
  <si>
    <r>
      <t>m</t>
    </r>
    <r>
      <rPr>
        <vertAlign val="superscript"/>
        <sz val="10"/>
        <color theme="1"/>
        <rFont val="Arial"/>
        <family val="2"/>
      </rPr>
      <t>2</t>
    </r>
  </si>
  <si>
    <t>HECTARES</t>
  </si>
  <si>
    <t>Entire Program Nutrient Concentrations :: kg / Hectare</t>
  </si>
  <si>
    <t>60 L Drum:</t>
  </si>
  <si>
    <t>1080 L Drum:</t>
  </si>
  <si>
    <t>120 L Drum:</t>
  </si>
  <si>
    <t>220 L Drum:</t>
  </si>
  <si>
    <t>Bulk Discount</t>
  </si>
  <si>
    <t>Litres Needed</t>
  </si>
  <si>
    <t>Cost / L</t>
  </si>
  <si>
    <r>
      <rPr>
        <b/>
        <i/>
        <sz val="9"/>
        <color indexed="58"/>
        <rFont val="Arial"/>
        <family val="2"/>
      </rPr>
      <t>WHOLE</t>
    </r>
    <r>
      <rPr>
        <b/>
        <i/>
        <sz val="11"/>
        <color indexed="58"/>
        <rFont val="Arial"/>
        <family val="2"/>
      </rPr>
      <t xml:space="preserve"> 20 L Cases    &amp; Case Cost</t>
    </r>
  </si>
  <si>
    <t>60 L Drums &amp;       Cost Equivalent</t>
  </si>
  <si>
    <t>120 L Drums &amp;      Cost Equivalent</t>
  </si>
  <si>
    <t>220 L Drums &amp;      Cost Equivalent</t>
  </si>
  <si>
    <t>1,080 L Totes &amp;      Cost Equivalent</t>
  </si>
  <si>
    <t>Cost / Hectare</t>
  </si>
  <si>
    <r>
      <rPr>
        <b/>
        <i/>
        <sz val="8"/>
        <color indexed="58"/>
        <rFont val="Arial"/>
        <family val="2"/>
      </rPr>
      <t xml:space="preserve">Programme </t>
    </r>
    <r>
      <rPr>
        <b/>
        <i/>
        <sz val="10"/>
        <color indexed="58"/>
        <rFont val="Arial"/>
        <family val="2"/>
      </rPr>
      <t>Cost</t>
    </r>
  </si>
  <si>
    <t>Programme Sub-Total:</t>
  </si>
  <si>
    <t>Program Total kg</t>
  </si>
  <si>
    <r>
      <t>g / m</t>
    </r>
    <r>
      <rPr>
        <b/>
        <vertAlign val="superscript"/>
        <sz val="9"/>
        <color indexed="10"/>
        <rFont val="Arial"/>
        <family val="2"/>
      </rPr>
      <t>2</t>
    </r>
  </si>
  <si>
    <r>
      <rPr>
        <sz val="10"/>
        <color indexed="58"/>
        <rFont val="Arial"/>
        <family val="2"/>
      </rPr>
      <t>Elemental</t>
    </r>
    <r>
      <rPr>
        <sz val="11"/>
        <color indexed="58"/>
        <rFont val="Arial"/>
        <family val="2"/>
      </rPr>
      <t xml:space="preserve"> </t>
    </r>
    <r>
      <rPr>
        <b/>
        <sz val="16"/>
        <color indexed="58"/>
        <rFont val="Arial"/>
        <family val="2"/>
      </rPr>
      <t>K</t>
    </r>
  </si>
  <si>
    <t>Cost / kg</t>
  </si>
  <si>
    <t>Application Conversion Calculator</t>
  </si>
  <si>
    <r>
      <t>lbs / 1,000 ft</t>
    </r>
    <r>
      <rPr>
        <b/>
        <vertAlign val="superscript"/>
        <sz val="9"/>
        <color theme="1"/>
        <rFont val="Arial"/>
        <family val="2"/>
      </rPr>
      <t>2</t>
    </r>
  </si>
  <si>
    <t>fl.oz / 1,000 ft²</t>
  </si>
  <si>
    <t>gal / Acre</t>
  </si>
  <si>
    <t>lbs / Acre</t>
  </si>
  <si>
    <t>for use with "APPLICATION DATA - metric"</t>
  </si>
  <si>
    <t>PROGRAMME:</t>
  </si>
  <si>
    <t>Total Spray Apps / Programme:</t>
  </si>
  <si>
    <t>Total Spreader Apps / Programme:</t>
  </si>
  <si>
    <t>Total Tank Loads / Programme:</t>
  </si>
  <si>
    <t>Total Spreader Loads / Programme:</t>
  </si>
  <si>
    <t>Total Programme Cost</t>
  </si>
  <si>
    <t>Only select ONE area measurment &gt;&gt;</t>
  </si>
  <si>
    <r>
      <t>ml / m</t>
    </r>
    <r>
      <rPr>
        <b/>
        <vertAlign val="superscript"/>
        <sz val="9"/>
        <color theme="1"/>
        <rFont val="Arial"/>
        <family val="2"/>
      </rPr>
      <t>2</t>
    </r>
  </si>
  <si>
    <t>L / Hectare</t>
  </si>
  <si>
    <r>
      <t>g / m</t>
    </r>
    <r>
      <rPr>
        <b/>
        <vertAlign val="superscript"/>
        <sz val="9"/>
        <color theme="1"/>
        <rFont val="Arial"/>
        <family val="2"/>
      </rPr>
      <t>2</t>
    </r>
  </si>
  <si>
    <t>kg / Hectare</t>
  </si>
  <si>
    <t>Metric conversions and other international integrations are highlighted in violet &gt;&gt;</t>
  </si>
  <si>
    <r>
      <t>Liquid</t>
    </r>
    <r>
      <rPr>
        <sz val="9"/>
        <color theme="1"/>
        <rFont val="Arial"/>
        <family val="2"/>
      </rPr>
      <t xml:space="preserve"> }</t>
    </r>
  </si>
  <si>
    <r>
      <t>granular</t>
    </r>
    <r>
      <rPr>
        <sz val="9"/>
        <color theme="1"/>
        <rFont val="Arial"/>
        <family val="2"/>
      </rPr>
      <t xml:space="preserve"> }</t>
    </r>
  </si>
  <si>
    <t>metric measurments with elemental nutrients (P &amp; K)</t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</si>
  <si>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</si>
  <si>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</si>
  <si>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242</t>
  </si>
  <si>
    <r>
      <t xml:space="preserve">The Grigg Brothers Proven Foliar™ &amp; GreenSpec™ product data is fixed </t>
    </r>
    <r>
      <rPr>
        <sz val="10"/>
        <color theme="1"/>
        <rFont val="Arial"/>
        <family val="2"/>
      </rPr>
      <t>(except for the Price per gal or L)</t>
    </r>
  </si>
  <si>
    <t>or</t>
  </si>
  <si>
    <t>NO INFORMATION entered on this sheet will impact any other sheet; This is a calculator / information only page</t>
  </si>
  <si>
    <t>2030</t>
  </si>
  <si>
    <t>610</t>
  </si>
  <si>
    <t>630</t>
  </si>
  <si>
    <t>620</t>
  </si>
  <si>
    <t>720</t>
  </si>
  <si>
    <t xml:space="preserve">Manni-Plex® Total Turf  </t>
  </si>
  <si>
    <t xml:space="preserve">Manni-Plex® Ultra Turf </t>
  </si>
  <si>
    <t>Manni-Plex® Eagle</t>
  </si>
  <si>
    <t>Manni-Plex® Root Builder</t>
  </si>
  <si>
    <t>Manni-Plex® Grow</t>
  </si>
  <si>
    <t>Manni-Plex® Foli-Cal</t>
  </si>
  <si>
    <t>Manni-Plex® K</t>
  </si>
  <si>
    <t>Manni-Plex® Traffic</t>
  </si>
  <si>
    <t>Manni-Plex® Fe</t>
  </si>
  <si>
    <t>Manni-Plex® Mg</t>
  </si>
  <si>
    <t>Manni-Plex® Mn</t>
  </si>
  <si>
    <t>Manni-Plex® Cal Zn</t>
  </si>
  <si>
    <t>Manni-Plex® Cal Mag</t>
  </si>
  <si>
    <t>Manni-Plex® Ni</t>
  </si>
  <si>
    <t>Manni-Plex® for Ornamentals</t>
  </si>
  <si>
    <t>Brandt In-Cyte</t>
  </si>
  <si>
    <t>Brandt Seaweed Max</t>
  </si>
  <si>
    <t>Brandt Converge CRN</t>
  </si>
  <si>
    <t>Brandt Converge 18-3-6</t>
  </si>
  <si>
    <t>Brandt Supreme Green</t>
  </si>
  <si>
    <t>Brandt FlashDance</t>
  </si>
  <si>
    <t>version #BRANDT-X02-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</si>
</sst>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0.000%"/>
    <numFmt numFmtId="166" formatCode="0.0%"/>
    <numFmt numFmtId="167" formatCode="[$-409]mmmm\ d\,\ yyyy;@"/>
    <numFmt numFmtId="168" formatCode="&quot;$&quot;#,##0.00"/>
    <numFmt numFmtId="169" formatCode="0.00_);\(0.00\)"/>
    <numFmt numFmtId="170" formatCode="0.0000"/>
    <numFmt numFmtId="171" formatCode="#,##0.0000000"/>
    <numFmt numFmtId="172" formatCode="#,##0.000"/>
    <numFmt numFmtId="173" formatCode="0.00000"/>
    <numFmt numFmtId="174" formatCode="0.0"/>
    <numFmt numFmtId="175" formatCode="#,##0.0000"/>
  </numFmts>
  <fonts count="1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8"/>
      <name val="Arial"/>
      <family val="2"/>
    </font>
    <font>
      <b/>
      <sz val="10"/>
      <name val="Helvetica Narrow"/>
      <family val="3"/>
    </font>
    <font>
      <b/>
      <sz val="14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58"/>
      <name val="Arial"/>
      <family val="2"/>
    </font>
    <font>
      <b/>
      <sz val="16"/>
      <color indexed="58"/>
      <name val="Arial"/>
      <family val="2"/>
    </font>
    <font>
      <b/>
      <vertAlign val="subscript"/>
      <sz val="16"/>
      <color indexed="58"/>
      <name val="Arial"/>
      <family val="2"/>
    </font>
    <font>
      <b/>
      <sz val="14"/>
      <color indexed="58"/>
      <name val="Arial"/>
      <family val="2"/>
    </font>
    <font>
      <sz val="12"/>
      <color theme="0" tint="-0.499984740745262"/>
      <name val="Arial"/>
      <family val="2"/>
    </font>
    <font>
      <sz val="11"/>
      <color indexed="58"/>
      <name val="Arial"/>
      <family val="2"/>
    </font>
    <font>
      <sz val="8"/>
      <color theme="0" tint="-0.499984740745262"/>
      <name val="Arial"/>
      <family val="2"/>
    </font>
    <font>
      <b/>
      <sz val="8"/>
      <color indexed="58"/>
      <name val="Arial"/>
      <family val="2"/>
    </font>
    <font>
      <b/>
      <i/>
      <sz val="10"/>
      <color indexed="5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i/>
      <sz val="10"/>
      <color indexed="2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23"/>
      <name val="Arial"/>
      <family val="2"/>
    </font>
    <font>
      <b/>
      <sz val="10"/>
      <color indexed="58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b/>
      <sz val="12"/>
      <color indexed="8"/>
      <name val="Arial"/>
      <family val="2"/>
    </font>
    <font>
      <b/>
      <i/>
      <sz val="12"/>
      <color indexed="58"/>
      <name val="Arial"/>
      <family val="2"/>
    </font>
    <font>
      <b/>
      <i/>
      <sz val="12"/>
      <name val="Arial"/>
      <family val="2"/>
    </font>
    <font>
      <b/>
      <vertAlign val="superscript"/>
      <sz val="9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sz val="10"/>
      <color theme="1"/>
      <name val="Arial"/>
      <family val="2"/>
    </font>
    <font>
      <sz val="10"/>
      <color theme="0" tint="-4.9989318521683403E-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indexed="17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20"/>
      <color indexed="16"/>
      <name val="Arial"/>
      <family val="2"/>
    </font>
    <font>
      <b/>
      <sz val="12"/>
      <color indexed="5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1"/>
      <color indexed="5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6"/>
      <color rgb="FF008000"/>
      <name val="Arial"/>
      <family val="2"/>
    </font>
    <font>
      <b/>
      <vertAlign val="subscript"/>
      <sz val="12"/>
      <name val="Arial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sz val="12"/>
      <color rgb="FF0070C0"/>
      <name val="Arial"/>
      <family val="2"/>
    </font>
    <font>
      <b/>
      <sz val="9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i/>
      <sz val="18"/>
      <color indexed="58"/>
      <name val="Arial"/>
      <family val="2"/>
    </font>
    <font>
      <b/>
      <i/>
      <sz val="16"/>
      <color indexed="58"/>
      <name val="Arial"/>
      <family val="2"/>
    </font>
    <font>
      <b/>
      <sz val="12"/>
      <color indexed="43"/>
      <name val="Tahoma"/>
      <family val="2"/>
    </font>
    <font>
      <sz val="10"/>
      <color rgb="FFFF0000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i/>
      <sz val="14"/>
      <name val="Arial"/>
      <family val="2"/>
    </font>
    <font>
      <b/>
      <sz val="12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i/>
      <sz val="14"/>
      <color rgb="FF0000FF"/>
      <name val="Arial"/>
      <family val="2"/>
    </font>
    <font>
      <b/>
      <sz val="14"/>
      <color rgb="FF0000FF"/>
      <name val="Arial"/>
      <family val="2"/>
    </font>
    <font>
      <i/>
      <sz val="10"/>
      <color rgb="FF5F5F5F"/>
      <name val="Arial"/>
      <family val="2"/>
    </font>
    <font>
      <sz val="12"/>
      <color rgb="FF0000FF"/>
      <name val="Arial"/>
      <family val="2"/>
    </font>
    <font>
      <b/>
      <sz val="10"/>
      <color indexed="43"/>
      <name val="Tahoma"/>
      <family val="2"/>
    </font>
    <font>
      <b/>
      <i/>
      <sz val="9"/>
      <color indexed="58"/>
      <name val="Arial"/>
      <family val="2"/>
    </font>
    <font>
      <b/>
      <sz val="11"/>
      <color rgb="FF008000"/>
      <name val="Arial"/>
      <family val="2"/>
    </font>
    <font>
      <b/>
      <sz val="10"/>
      <color rgb="FF008000"/>
      <name val="Arial"/>
      <family val="2"/>
    </font>
    <font>
      <b/>
      <sz val="10"/>
      <color theme="0" tint="-0.249977111117893"/>
      <name val="Arial"/>
      <family val="2"/>
    </font>
    <font>
      <sz val="10"/>
      <color indexed="58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b/>
      <sz val="9"/>
      <color theme="1"/>
      <name val="Arial"/>
      <family val="2"/>
    </font>
    <font>
      <b/>
      <sz val="16"/>
      <color indexed="43"/>
      <name val="Tahoma"/>
      <family val="2"/>
    </font>
    <font>
      <sz val="12"/>
      <color indexed="58"/>
      <name val="Arial"/>
      <family val="2"/>
    </font>
    <font>
      <sz val="8"/>
      <color rgb="FFFF0000"/>
      <name val="Arial"/>
      <family val="2"/>
    </font>
    <font>
      <i/>
      <sz val="14"/>
      <color rgb="FF0070C0"/>
      <name val="Arial"/>
      <family val="2"/>
    </font>
    <font>
      <i/>
      <vertAlign val="superscript"/>
      <sz val="14"/>
      <color rgb="FF0070C0"/>
      <name val="Arial"/>
      <family val="2"/>
    </font>
    <font>
      <b/>
      <sz val="11"/>
      <color rgb="FFFF000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8"/>
      <color theme="1"/>
      <name val="Arial"/>
      <family val="2"/>
    </font>
    <font>
      <b/>
      <i/>
      <sz val="14"/>
      <color theme="5" tint="-0.499984740745262"/>
      <name val="Arial"/>
      <family val="2"/>
    </font>
    <font>
      <b/>
      <i/>
      <sz val="14"/>
      <color rgb="FF008000"/>
      <name val="Arial"/>
      <family val="2"/>
    </font>
    <font>
      <b/>
      <i/>
      <sz val="14"/>
      <color rgb="FF7030A0"/>
      <name val="Arial"/>
      <family val="2"/>
    </font>
    <font>
      <b/>
      <sz val="16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b/>
      <i/>
      <sz val="16"/>
      <color theme="7" tint="-0.249977111117893"/>
      <name val="Arial"/>
      <family val="2"/>
    </font>
    <font>
      <b/>
      <i/>
      <sz val="16"/>
      <color rgb="FF003300"/>
      <name val="Arial"/>
      <family val="2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FF"/>
      <name val="Arial"/>
      <family val="2"/>
    </font>
    <font>
      <sz val="12"/>
      <color theme="1" tint="0.499984740745262"/>
      <name val="Arial"/>
      <family val="2"/>
    </font>
    <font>
      <sz val="11"/>
      <color rgb="FF0000FF"/>
      <name val="Calibri"/>
      <family val="2"/>
      <scheme val="minor"/>
    </font>
    <font>
      <b/>
      <sz val="10"/>
      <name val="Helvetica Narrow"/>
      <family val="3"/>
    </font>
    <font>
      <b/>
      <sz val="9"/>
      <color indexed="58"/>
      <name val="Arial"/>
      <family val="2"/>
    </font>
    <font>
      <b/>
      <u/>
      <sz val="12"/>
      <color indexed="43"/>
      <name val="Tahoma"/>
      <family val="2"/>
    </font>
    <font>
      <b/>
      <i/>
      <sz val="8"/>
      <color indexed="58"/>
      <name val="Arial"/>
      <family val="2"/>
    </font>
    <font>
      <sz val="7"/>
      <color rgb="FFFF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12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7F6FF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rgb="FF00B050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>
      <alignment horizontal="center" vertical="center" wrapText="1"/>
    </xf>
    <xf numFmtId="0" fontId="108" fillId="0" borderId="0" applyNumberFormat="0" applyFont="0">
      <alignment horizontal="center" vertical="center" wrapText="1"/>
    </xf>
  </cellStyleXfs>
  <cellXfs count="768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 shrinkToFit="1"/>
    </xf>
    <xf numFmtId="0" fontId="16" fillId="4" borderId="0" xfId="1" applyFont="1" applyFill="1" applyBorder="1" applyAlignment="1" applyProtection="1">
      <alignment horizontal="center" vertical="center" shrinkToFit="1"/>
    </xf>
    <xf numFmtId="0" fontId="1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167" fontId="19" fillId="0" borderId="0" xfId="0" applyNumberFormat="1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vertical="center"/>
    </xf>
    <xf numFmtId="2" fontId="24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</xf>
    <xf numFmtId="0" fontId="20" fillId="9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</xf>
    <xf numFmtId="164" fontId="9" fillId="0" borderId="11" xfId="1" applyNumberFormat="1" applyFont="1" applyFill="1" applyBorder="1" applyAlignment="1" applyProtection="1">
      <alignment horizontal="center" vertical="center" shrinkToFit="1"/>
    </xf>
    <xf numFmtId="2" fontId="8" fillId="5" borderId="11" xfId="1" applyNumberFormat="1" applyFont="1" applyFill="1" applyBorder="1" applyAlignment="1" applyProtection="1">
      <alignment horizontal="center" vertical="center" shrinkToFit="1"/>
    </xf>
    <xf numFmtId="165" fontId="14" fillId="0" borderId="11" xfId="1" applyNumberFormat="1" applyFont="1" applyFill="1" applyBorder="1" applyAlignment="1" applyProtection="1">
      <alignment horizontal="center" vertical="center" shrinkToFit="1"/>
    </xf>
    <xf numFmtId="165" fontId="14" fillId="0" borderId="12" xfId="1" applyNumberFormat="1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right" vertical="center"/>
    </xf>
    <xf numFmtId="164" fontId="9" fillId="0" borderId="14" xfId="1" applyNumberFormat="1" applyFont="1" applyFill="1" applyBorder="1" applyAlignment="1" applyProtection="1">
      <alignment horizontal="center" vertical="center" shrinkToFit="1"/>
    </xf>
    <xf numFmtId="2" fontId="8" fillId="5" borderId="14" xfId="1" applyNumberFormat="1" applyFont="1" applyFill="1" applyBorder="1" applyAlignment="1" applyProtection="1">
      <alignment horizontal="center" vertical="center" shrinkToFit="1"/>
    </xf>
    <xf numFmtId="165" fontId="14" fillId="0" borderId="14" xfId="1" applyNumberFormat="1" applyFont="1" applyFill="1" applyBorder="1" applyAlignment="1" applyProtection="1">
      <alignment horizontal="center" vertical="center" shrinkToFit="1"/>
    </xf>
    <xf numFmtId="165" fontId="14" fillId="0" borderId="15" xfId="1" applyNumberFormat="1" applyFont="1" applyFill="1" applyBorder="1" applyAlignment="1" applyProtection="1">
      <alignment horizontal="center" vertical="center" shrinkToFit="1"/>
    </xf>
    <xf numFmtId="166" fontId="14" fillId="0" borderId="14" xfId="1" applyNumberFormat="1" applyFont="1" applyFill="1" applyBorder="1" applyAlignment="1" applyProtection="1">
      <alignment horizontal="center" vertical="center" shrinkToFit="1"/>
    </xf>
    <xf numFmtId="4" fontId="9" fillId="3" borderId="11" xfId="1" applyNumberFormat="1" applyFont="1" applyFill="1" applyBorder="1" applyAlignment="1" applyProtection="1">
      <alignment horizontal="center" vertical="center" shrinkToFit="1"/>
      <protection locked="0"/>
    </xf>
    <xf numFmtId="4" fontId="9" fillId="3" borderId="14" xfId="1" applyNumberFormat="1" applyFont="1" applyFill="1" applyBorder="1" applyAlignment="1" applyProtection="1">
      <alignment horizontal="center" vertical="center" shrinkToFit="1"/>
      <protection locked="0"/>
    </xf>
    <xf numFmtId="4" fontId="9" fillId="3" borderId="17" xfId="1" applyNumberFormat="1" applyFont="1" applyFill="1" applyBorder="1" applyAlignment="1" applyProtection="1">
      <alignment horizontal="center" vertical="center" shrinkToFit="1"/>
      <protection locked="0"/>
    </xf>
    <xf numFmtId="165" fontId="14" fillId="0" borderId="19" xfId="1" applyNumberFormat="1" applyFont="1" applyFill="1" applyBorder="1" applyAlignment="1" applyProtection="1">
      <alignment horizontal="center" vertical="center" shrinkToFit="1"/>
    </xf>
    <xf numFmtId="164" fontId="9" fillId="0" borderId="19" xfId="1" applyNumberFormat="1" applyFont="1" applyFill="1" applyBorder="1" applyAlignment="1" applyProtection="1">
      <alignment horizontal="center" vertical="center" shrinkToFit="1"/>
    </xf>
    <xf numFmtId="2" fontId="8" fillId="5" borderId="19" xfId="1" applyNumberFormat="1" applyFont="1" applyFill="1" applyBorder="1" applyAlignment="1" applyProtection="1">
      <alignment horizontal="center" vertical="center" shrinkToFit="1"/>
    </xf>
    <xf numFmtId="0" fontId="1" fillId="6" borderId="22" xfId="0" applyFont="1" applyFill="1" applyBorder="1" applyAlignment="1" applyProtection="1">
      <alignment vertical="center"/>
    </xf>
    <xf numFmtId="0" fontId="8" fillId="6" borderId="22" xfId="0" applyFont="1" applyFill="1" applyBorder="1" applyAlignment="1" applyProtection="1">
      <alignment horizontal="center" vertical="center"/>
    </xf>
    <xf numFmtId="165" fontId="14" fillId="0" borderId="17" xfId="1" applyNumberFormat="1" applyFont="1" applyFill="1" applyBorder="1" applyAlignment="1" applyProtection="1">
      <alignment horizontal="center" vertical="center" shrinkToFit="1"/>
    </xf>
    <xf numFmtId="165" fontId="14" fillId="0" borderId="18" xfId="1" applyNumberFormat="1" applyFont="1" applyFill="1" applyBorder="1" applyAlignment="1" applyProtection="1">
      <alignment horizontal="center" vertical="center" shrinkToFit="1"/>
    </xf>
    <xf numFmtId="0" fontId="1" fillId="6" borderId="2" xfId="0" applyFont="1" applyFill="1" applyBorder="1" applyAlignment="1" applyProtection="1">
      <alignment vertical="center"/>
    </xf>
    <xf numFmtId="0" fontId="8" fillId="6" borderId="2" xfId="0" applyFont="1" applyFill="1" applyBorder="1" applyAlignment="1" applyProtection="1">
      <alignment horizontal="center" vertical="center"/>
    </xf>
    <xf numFmtId="165" fontId="14" fillId="3" borderId="29" xfId="1" applyNumberFormat="1" applyFont="1" applyFill="1" applyBorder="1" applyAlignment="1" applyProtection="1">
      <alignment horizontal="center" vertical="center" shrinkToFit="1"/>
      <protection locked="0"/>
    </xf>
    <xf numFmtId="4" fontId="9" fillId="3" borderId="31" xfId="1" applyNumberFormat="1" applyFont="1" applyFill="1" applyBorder="1" applyAlignment="1" applyProtection="1">
      <alignment horizontal="center" vertical="center" shrinkToFit="1"/>
      <protection locked="0"/>
    </xf>
    <xf numFmtId="164" fontId="9" fillId="0" borderId="31" xfId="1" applyNumberFormat="1" applyFont="1" applyFill="1" applyBorder="1" applyAlignment="1" applyProtection="1">
      <alignment horizontal="center" vertical="center" shrinkToFit="1"/>
    </xf>
    <xf numFmtId="166" fontId="29" fillId="3" borderId="31" xfId="1" applyNumberFormat="1" applyFont="1" applyFill="1" applyBorder="1" applyAlignment="1" applyProtection="1">
      <alignment horizontal="center" vertical="center" shrinkToFit="1"/>
      <protection locked="0"/>
    </xf>
    <xf numFmtId="165" fontId="14" fillId="3" borderId="31" xfId="1" applyNumberFormat="1" applyFont="1" applyFill="1" applyBorder="1" applyAlignment="1" applyProtection="1">
      <alignment horizontal="center" vertical="center" shrinkToFit="1"/>
      <protection locked="0"/>
    </xf>
    <xf numFmtId="165" fontId="5" fillId="3" borderId="31" xfId="1" applyNumberFormat="1" applyFont="1" applyFill="1" applyBorder="1" applyAlignment="1" applyProtection="1">
      <alignment horizontal="center" vertical="center" shrinkToFit="1"/>
      <protection locked="0"/>
    </xf>
    <xf numFmtId="165" fontId="14" fillId="3" borderId="3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/>
    </xf>
    <xf numFmtId="4" fontId="9" fillId="3" borderId="19" xfId="1" applyNumberFormat="1" applyFont="1" applyFill="1" applyBorder="1" applyAlignment="1" applyProtection="1">
      <alignment horizontal="center" vertical="center" shrinkToFit="1"/>
      <protection locked="0"/>
    </xf>
    <xf numFmtId="165" fontId="14" fillId="0" borderId="23" xfId="1" applyNumberFormat="1" applyFont="1" applyFill="1" applyBorder="1" applyAlignment="1" applyProtection="1">
      <alignment horizontal="center" vertical="center" shrinkToFit="1"/>
    </xf>
    <xf numFmtId="164" fontId="31" fillId="10" borderId="11" xfId="1" applyNumberFormat="1" applyFont="1" applyFill="1" applyBorder="1" applyAlignment="1" applyProtection="1">
      <alignment horizontal="center" vertical="center" shrinkToFit="1"/>
    </xf>
    <xf numFmtId="164" fontId="29" fillId="10" borderId="14" xfId="1" applyNumberFormat="1" applyFont="1" applyFill="1" applyBorder="1" applyAlignment="1" applyProtection="1">
      <alignment horizontal="center" vertical="center" shrinkToFit="1"/>
    </xf>
    <xf numFmtId="164" fontId="31" fillId="10" borderId="14" xfId="1" applyNumberFormat="1" applyFont="1" applyFill="1" applyBorder="1" applyAlignment="1" applyProtection="1">
      <alignment horizontal="center" vertical="center" shrinkToFit="1"/>
    </xf>
    <xf numFmtId="164" fontId="31" fillId="10" borderId="19" xfId="1" applyNumberFormat="1" applyFont="1" applyFill="1" applyBorder="1" applyAlignment="1" applyProtection="1">
      <alignment horizontal="center" vertical="center" shrinkToFit="1"/>
    </xf>
    <xf numFmtId="164" fontId="29" fillId="0" borderId="11" xfId="1" applyNumberFormat="1" applyFont="1" applyFill="1" applyBorder="1" applyAlignment="1" applyProtection="1">
      <alignment horizontal="center" vertical="center" shrinkToFit="1"/>
    </xf>
    <xf numFmtId="164" fontId="29" fillId="0" borderId="14" xfId="1" applyNumberFormat="1" applyFont="1" applyFill="1" applyBorder="1" applyAlignment="1" applyProtection="1">
      <alignment horizontal="center" vertical="center" shrinkToFit="1"/>
    </xf>
    <xf numFmtId="164" fontId="29" fillId="0" borderId="19" xfId="1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4" fontId="2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8" fillId="6" borderId="2" xfId="0" applyFont="1" applyFill="1" applyBorder="1" applyAlignment="1" applyProtection="1">
      <alignment vertical="center"/>
    </xf>
    <xf numFmtId="0" fontId="32" fillId="0" borderId="5" xfId="0" applyFont="1" applyFill="1" applyBorder="1" applyAlignment="1" applyProtection="1">
      <alignment horizontal="center" vertical="center"/>
    </xf>
    <xf numFmtId="2" fontId="26" fillId="0" borderId="5" xfId="0" applyNumberFormat="1" applyFont="1" applyFill="1" applyBorder="1" applyAlignment="1" applyProtection="1">
      <alignment horizontal="center" vertical="center"/>
    </xf>
    <xf numFmtId="2" fontId="26" fillId="0" borderId="40" xfId="0" applyNumberFormat="1" applyFont="1" applyFill="1" applyBorder="1" applyAlignment="1" applyProtection="1">
      <alignment horizontal="center" vertical="center"/>
    </xf>
    <xf numFmtId="2" fontId="26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left" vertical="center"/>
    </xf>
    <xf numFmtId="168" fontId="42" fillId="9" borderId="0" xfId="0" applyNumberFormat="1" applyFont="1" applyFill="1" applyBorder="1" applyAlignment="1" applyProtection="1">
      <alignment vertical="center"/>
    </xf>
    <xf numFmtId="168" fontId="44" fillId="9" borderId="0" xfId="0" applyNumberFormat="1" applyFont="1" applyFill="1" applyBorder="1" applyAlignment="1" applyProtection="1">
      <alignment vertical="center"/>
    </xf>
    <xf numFmtId="49" fontId="45" fillId="9" borderId="0" xfId="0" applyNumberFormat="1" applyFont="1" applyFill="1" applyBorder="1" applyAlignment="1" applyProtection="1">
      <alignment horizontal="center" vertical="center"/>
    </xf>
    <xf numFmtId="168" fontId="1" fillId="9" borderId="0" xfId="0" applyNumberFormat="1" applyFont="1" applyFill="1" applyBorder="1" applyAlignment="1" applyProtection="1">
      <alignment vertical="center"/>
    </xf>
    <xf numFmtId="168" fontId="20" fillId="9" borderId="0" xfId="0" applyNumberFormat="1" applyFont="1" applyFill="1" applyBorder="1" applyAlignment="1" applyProtection="1">
      <alignment vertical="center"/>
    </xf>
    <xf numFmtId="0" fontId="18" fillId="0" borderId="57" xfId="0" applyFont="1" applyFill="1" applyBorder="1" applyAlignment="1" applyProtection="1">
      <alignment horizontal="right" vertical="center"/>
    </xf>
    <xf numFmtId="0" fontId="18" fillId="0" borderId="58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68" fontId="28" fillId="8" borderId="8" xfId="0" applyNumberFormat="1" applyFont="1" applyFill="1" applyBorder="1" applyAlignment="1" applyProtection="1">
      <alignment horizontal="center" vertical="center"/>
      <protection locked="0"/>
    </xf>
    <xf numFmtId="3" fontId="39" fillId="0" borderId="19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168" fontId="9" fillId="0" borderId="19" xfId="0" applyNumberFormat="1" applyFont="1" applyFill="1" applyBorder="1" applyAlignment="1" applyProtection="1">
      <alignment horizontal="center" vertical="center"/>
    </xf>
    <xf numFmtId="4" fontId="9" fillId="0" borderId="19" xfId="0" applyNumberFormat="1" applyFont="1" applyFill="1" applyBorder="1" applyAlignment="1" applyProtection="1">
      <alignment horizontal="center" vertical="center"/>
    </xf>
    <xf numFmtId="1" fontId="9" fillId="0" borderId="19" xfId="0" applyNumberFormat="1" applyFont="1" applyFill="1" applyBorder="1" applyAlignment="1" applyProtection="1">
      <alignment horizontal="center" vertical="center"/>
    </xf>
    <xf numFmtId="0" fontId="43" fillId="9" borderId="0" xfId="0" applyFont="1" applyFill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center" vertical="center"/>
    </xf>
    <xf numFmtId="1" fontId="46" fillId="8" borderId="8" xfId="0" applyNumberFormat="1" applyFont="1" applyFill="1" applyBorder="1" applyAlignment="1" applyProtection="1">
      <alignment horizontal="center" vertical="center"/>
      <protection locked="0"/>
    </xf>
    <xf numFmtId="4" fontId="46" fillId="8" borderId="49" xfId="0" applyNumberFormat="1" applyFont="1" applyFill="1" applyBorder="1" applyAlignment="1" applyProtection="1">
      <alignment horizontal="center" vertical="center"/>
      <protection locked="0"/>
    </xf>
    <xf numFmtId="4" fontId="46" fillId="8" borderId="68" xfId="0" applyNumberFormat="1" applyFont="1" applyFill="1" applyBorder="1" applyAlignment="1" applyProtection="1">
      <alignment horizontal="center" vertical="center"/>
      <protection locked="0"/>
    </xf>
    <xf numFmtId="4" fontId="46" fillId="8" borderId="69" xfId="0" applyNumberFormat="1" applyFont="1" applyFill="1" applyBorder="1" applyAlignment="1" applyProtection="1">
      <alignment horizontal="center" vertical="center"/>
      <protection locked="0"/>
    </xf>
    <xf numFmtId="2" fontId="29" fillId="0" borderId="39" xfId="0" applyNumberFormat="1" applyFont="1" applyFill="1" applyBorder="1" applyAlignment="1" applyProtection="1">
      <alignment horizontal="center" vertical="center"/>
    </xf>
    <xf numFmtId="2" fontId="29" fillId="0" borderId="5" xfId="0" applyNumberFormat="1" applyFont="1" applyFill="1" applyBorder="1" applyAlignment="1" applyProtection="1">
      <alignment horizontal="center" vertical="center"/>
    </xf>
    <xf numFmtId="2" fontId="29" fillId="0" borderId="0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164" fontId="61" fillId="0" borderId="25" xfId="0" applyNumberFormat="1" applyFont="1" applyBorder="1" applyAlignment="1" applyProtection="1">
      <alignment horizontal="right" vertical="center"/>
    </xf>
    <xf numFmtId="164" fontId="60" fillId="0" borderId="25" xfId="0" applyNumberFormat="1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right" vertical="center"/>
    </xf>
    <xf numFmtId="0" fontId="24" fillId="0" borderId="34" xfId="0" applyFont="1" applyFill="1" applyBorder="1" applyAlignment="1" applyProtection="1">
      <alignment horizontal="right" vertical="center"/>
    </xf>
    <xf numFmtId="0" fontId="58" fillId="0" borderId="34" xfId="0" applyFont="1" applyFill="1" applyBorder="1" applyAlignment="1" applyProtection="1">
      <alignment horizontal="right" vertical="center"/>
    </xf>
    <xf numFmtId="0" fontId="24" fillId="0" borderId="70" xfId="0" applyFont="1" applyFill="1" applyBorder="1" applyAlignment="1" applyProtection="1">
      <alignment horizontal="right" vertical="center"/>
    </xf>
    <xf numFmtId="0" fontId="29" fillId="0" borderId="14" xfId="0" applyFont="1" applyFill="1" applyBorder="1" applyAlignment="1" applyProtection="1">
      <alignment horizontal="center" vertical="center" wrapText="1"/>
    </xf>
    <xf numFmtId="168" fontId="29" fillId="0" borderId="29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4" fontId="46" fillId="8" borderId="73" xfId="0" applyNumberFormat="1" applyFont="1" applyFill="1" applyBorder="1" applyAlignment="1" applyProtection="1">
      <alignment horizontal="center" vertical="center"/>
      <protection locked="0"/>
    </xf>
    <xf numFmtId="2" fontId="29" fillId="0" borderId="14" xfId="1" applyNumberFormat="1" applyFont="1" applyFill="1" applyBorder="1" applyAlignment="1" applyProtection="1">
      <alignment horizontal="center" vertical="center" shrinkToFit="1"/>
    </xf>
    <xf numFmtId="2" fontId="29" fillId="0" borderId="11" xfId="1" applyNumberFormat="1" applyFont="1" applyFill="1" applyBorder="1" applyAlignment="1" applyProtection="1">
      <alignment horizontal="center" vertical="center" shrinkToFit="1"/>
    </xf>
    <xf numFmtId="2" fontId="29" fillId="0" borderId="17" xfId="1" applyNumberFormat="1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36" xfId="0" applyFont="1" applyFill="1" applyBorder="1" applyAlignment="1" applyProtection="1">
      <alignment horizontal="right" vertical="center"/>
    </xf>
    <xf numFmtId="3" fontId="25" fillId="0" borderId="38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68" fillId="0" borderId="25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right" vertical="center" shrinkToFit="1"/>
    </xf>
    <xf numFmtId="0" fontId="4" fillId="0" borderId="13" xfId="0" applyFont="1" applyFill="1" applyBorder="1" applyAlignment="1" applyProtection="1">
      <alignment horizontal="right" vertical="center" shrinkToFit="1"/>
    </xf>
    <xf numFmtId="0" fontId="4" fillId="0" borderId="16" xfId="0" applyFont="1" applyFill="1" applyBorder="1" applyAlignment="1" applyProtection="1">
      <alignment horizontal="right" vertical="center" shrinkToFit="1"/>
    </xf>
    <xf numFmtId="49" fontId="13" fillId="0" borderId="0" xfId="0" applyNumberFormat="1" applyFont="1" applyFill="1" applyBorder="1" applyAlignment="1" applyProtection="1">
      <alignment vertical="center" shrinkToFit="1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4" fontId="46" fillId="0" borderId="35" xfId="0" applyNumberFormat="1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0" fillId="0" borderId="0" xfId="0" applyFill="1" applyProtection="1"/>
    <xf numFmtId="0" fontId="29" fillId="3" borderId="43" xfId="0" applyFont="1" applyFill="1" applyBorder="1" applyAlignment="1" applyProtection="1">
      <alignment horizontal="center" vertical="center"/>
      <protection locked="0"/>
    </xf>
    <xf numFmtId="0" fontId="29" fillId="3" borderId="20" xfId="0" applyFont="1" applyFill="1" applyBorder="1" applyAlignment="1" applyProtection="1">
      <alignment horizontal="center" vertical="center"/>
      <protection locked="0"/>
    </xf>
    <xf numFmtId="0" fontId="29" fillId="3" borderId="44" xfId="0" applyFont="1" applyFill="1" applyBorder="1" applyAlignment="1" applyProtection="1">
      <alignment horizontal="center" vertical="center"/>
      <protection locked="0"/>
    </xf>
    <xf numFmtId="0" fontId="29" fillId="3" borderId="7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168" fontId="25" fillId="0" borderId="0" xfId="0" applyNumberFormat="1" applyFont="1" applyFill="1" applyBorder="1" applyAlignment="1" applyProtection="1">
      <alignment horizontal="right" vertical="center"/>
    </xf>
    <xf numFmtId="168" fontId="9" fillId="0" borderId="67" xfId="0" applyNumberFormat="1" applyFont="1" applyFill="1" applyBorder="1" applyAlignment="1" applyProtection="1">
      <alignment horizontal="center" vertical="center"/>
    </xf>
    <xf numFmtId="3" fontId="9" fillId="0" borderId="82" xfId="0" applyNumberFormat="1" applyFont="1" applyFill="1" applyBorder="1" applyAlignment="1" applyProtection="1">
      <alignment horizontal="center" vertical="center"/>
    </xf>
    <xf numFmtId="4" fontId="9" fillId="0" borderId="82" xfId="0" applyNumberFormat="1" applyFont="1" applyFill="1" applyBorder="1" applyAlignment="1" applyProtection="1">
      <alignment horizontal="center" vertical="center"/>
    </xf>
    <xf numFmtId="168" fontId="9" fillId="0" borderId="31" xfId="0" applyNumberFormat="1" applyFont="1" applyFill="1" applyBorder="1" applyAlignment="1" applyProtection="1">
      <alignment horizontal="center" vertical="center"/>
    </xf>
    <xf numFmtId="1" fontId="9" fillId="0" borderId="3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55" xfId="0" applyFont="1" applyFill="1" applyBorder="1" applyAlignment="1" applyProtection="1">
      <alignment horizontal="right" vertical="center"/>
    </xf>
    <xf numFmtId="0" fontId="43" fillId="9" borderId="0" xfId="0" applyFont="1" applyFill="1" applyBorder="1" applyAlignment="1" applyProtection="1">
      <alignment horizontal="right" vertical="center"/>
    </xf>
    <xf numFmtId="2" fontId="9" fillId="0" borderId="19" xfId="0" applyNumberFormat="1" applyFont="1" applyFill="1" applyBorder="1" applyAlignment="1" applyProtection="1">
      <alignment horizontal="center" vertical="center"/>
    </xf>
    <xf numFmtId="2" fontId="9" fillId="0" borderId="31" xfId="0" applyNumberFormat="1" applyFont="1" applyFill="1" applyBorder="1" applyAlignment="1" applyProtection="1">
      <alignment horizontal="center" vertical="center"/>
    </xf>
    <xf numFmtId="168" fontId="9" fillId="0" borderId="32" xfId="0" applyNumberFormat="1" applyFont="1" applyFill="1" applyBorder="1" applyAlignment="1" applyProtection="1">
      <alignment horizontal="center" vertical="center"/>
    </xf>
    <xf numFmtId="168" fontId="79" fillId="0" borderId="19" xfId="0" applyNumberFormat="1" applyFont="1" applyFill="1" applyBorder="1" applyAlignment="1" applyProtection="1">
      <alignment horizontal="center" vertical="center"/>
    </xf>
    <xf numFmtId="168" fontId="80" fillId="0" borderId="19" xfId="0" applyNumberFormat="1" applyFont="1" applyFill="1" applyBorder="1" applyAlignment="1" applyProtection="1">
      <alignment horizontal="center" vertical="center"/>
    </xf>
    <xf numFmtId="1" fontId="81" fillId="0" borderId="19" xfId="0" applyNumberFormat="1" applyFont="1" applyFill="1" applyBorder="1" applyAlignment="1" applyProtection="1">
      <alignment horizontal="center" vertical="center"/>
    </xf>
    <xf numFmtId="1" fontId="81" fillId="0" borderId="31" xfId="0" applyNumberFormat="1" applyFont="1" applyFill="1" applyBorder="1" applyAlignment="1" applyProtection="1">
      <alignment horizontal="center" vertical="center"/>
    </xf>
    <xf numFmtId="164" fontId="9" fillId="3" borderId="31" xfId="1" applyNumberFormat="1" applyFont="1" applyFill="1" applyBorder="1" applyAlignment="1" applyProtection="1">
      <alignment horizontal="center" vertical="center" shrinkToFit="1"/>
      <protection locked="0"/>
    </xf>
    <xf numFmtId="2" fontId="9" fillId="0" borderId="34" xfId="0" applyNumberFormat="1" applyFont="1" applyFill="1" applyBorder="1" applyAlignment="1" applyProtection="1">
      <alignment horizontal="center" vertical="center"/>
    </xf>
    <xf numFmtId="168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41" fillId="9" borderId="0" xfId="0" applyFont="1" applyFill="1" applyAlignment="1" applyProtection="1">
      <alignment vertical="center"/>
    </xf>
    <xf numFmtId="167" fontId="47" fillId="0" borderId="53" xfId="0" applyNumberFormat="1" applyFont="1" applyFill="1" applyBorder="1" applyAlignment="1" applyProtection="1">
      <alignment vertical="center"/>
    </xf>
    <xf numFmtId="167" fontId="47" fillId="0" borderId="53" xfId="0" applyNumberFormat="1" applyFont="1" applyFill="1" applyBorder="1" applyAlignment="1" applyProtection="1">
      <alignment horizontal="right" vertical="center"/>
    </xf>
    <xf numFmtId="3" fontId="53" fillId="0" borderId="53" xfId="0" applyNumberFormat="1" applyFont="1" applyFill="1" applyBorder="1" applyAlignment="1" applyProtection="1">
      <alignment horizontal="right" vertical="center"/>
    </xf>
    <xf numFmtId="3" fontId="37" fillId="0" borderId="53" xfId="0" applyNumberFormat="1" applyFont="1" applyFill="1" applyBorder="1" applyAlignment="1" applyProtection="1">
      <alignment horizontal="left" vertical="center"/>
    </xf>
    <xf numFmtId="0" fontId="53" fillId="0" borderId="53" xfId="0" applyFont="1" applyFill="1" applyBorder="1" applyAlignment="1" applyProtection="1">
      <alignment horizontal="right" vertical="center"/>
    </xf>
    <xf numFmtId="3" fontId="37" fillId="0" borderId="54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Alignment="1" applyProtection="1">
      <alignment vertical="center"/>
    </xf>
    <xf numFmtId="167" fontId="47" fillId="0" borderId="0" xfId="0" applyNumberFormat="1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horizontal="right" vertical="center"/>
    </xf>
    <xf numFmtId="3" fontId="37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56" xfId="0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horizontal="right" vertical="center"/>
    </xf>
    <xf numFmtId="1" fontId="52" fillId="0" borderId="0" xfId="0" applyNumberFormat="1" applyFont="1" applyFill="1" applyBorder="1" applyAlignment="1" applyProtection="1">
      <alignment horizontal="right" vertical="center"/>
    </xf>
    <xf numFmtId="167" fontId="53" fillId="0" borderId="0" xfId="0" applyNumberFormat="1" applyFont="1" applyFill="1" applyBorder="1" applyAlignment="1" applyProtection="1">
      <alignment vertical="center"/>
    </xf>
    <xf numFmtId="167" fontId="47" fillId="0" borderId="0" xfId="0" applyNumberFormat="1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right" vertical="center"/>
    </xf>
    <xf numFmtId="1" fontId="52" fillId="0" borderId="0" xfId="0" applyNumberFormat="1" applyFont="1" applyFill="1" applyBorder="1" applyAlignment="1" applyProtection="1">
      <alignment horizontal="center" vertical="center"/>
    </xf>
    <xf numFmtId="0" fontId="41" fillId="9" borderId="0" xfId="0" applyFont="1" applyFill="1" applyBorder="1" applyAlignment="1" applyProtection="1">
      <alignment vertical="center"/>
    </xf>
    <xf numFmtId="1" fontId="53" fillId="0" borderId="0" xfId="0" applyNumberFormat="1" applyFont="1" applyFill="1" applyBorder="1" applyAlignment="1" applyProtection="1">
      <alignment horizontal="center" vertical="center"/>
    </xf>
    <xf numFmtId="0" fontId="37" fillId="0" borderId="58" xfId="0" applyFont="1" applyFill="1" applyBorder="1" applyAlignment="1" applyProtection="1">
      <alignment vertical="center"/>
    </xf>
    <xf numFmtId="167" fontId="47" fillId="0" borderId="58" xfId="0" applyNumberFormat="1" applyFont="1" applyFill="1" applyBorder="1" applyAlignment="1" applyProtection="1">
      <alignment horizontal="right" vertical="center"/>
    </xf>
    <xf numFmtId="0" fontId="37" fillId="0" borderId="58" xfId="0" applyFont="1" applyFill="1" applyBorder="1" applyAlignment="1" applyProtection="1">
      <alignment horizontal="right" vertical="center"/>
    </xf>
    <xf numFmtId="1" fontId="53" fillId="0" borderId="58" xfId="0" applyNumberFormat="1" applyFont="1" applyFill="1" applyBorder="1" applyAlignment="1" applyProtection="1">
      <alignment horizontal="center" vertical="center"/>
    </xf>
    <xf numFmtId="0" fontId="37" fillId="0" borderId="59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center" vertical="center"/>
    </xf>
    <xf numFmtId="0" fontId="41" fillId="0" borderId="24" xfId="0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right" vertical="center"/>
    </xf>
    <xf numFmtId="0" fontId="41" fillId="0" borderId="34" xfId="0" applyFont="1" applyFill="1" applyBorder="1" applyAlignment="1" applyProtection="1">
      <alignment vertical="center"/>
    </xf>
    <xf numFmtId="0" fontId="75" fillId="0" borderId="0" xfId="0" applyFont="1" applyFill="1" applyBorder="1" applyAlignment="1" applyProtection="1">
      <alignment horizontal="center" vertical="center"/>
    </xf>
    <xf numFmtId="0" fontId="41" fillId="0" borderId="34" xfId="0" applyFont="1" applyFill="1" applyBorder="1" applyAlignment="1" applyProtection="1">
      <alignment horizontal="right" vertical="center"/>
    </xf>
    <xf numFmtId="0" fontId="29" fillId="0" borderId="20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75" fillId="0" borderId="38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164" fontId="60" fillId="0" borderId="25" xfId="0" applyNumberFormat="1" applyFont="1" applyBorder="1" applyAlignment="1" applyProtection="1">
      <alignment horizontal="center" vertical="center"/>
    </xf>
    <xf numFmtId="164" fontId="84" fillId="0" borderId="0" xfId="0" applyNumberFormat="1" applyFont="1" applyBorder="1" applyAlignment="1" applyProtection="1">
      <alignment horizontal="center" vertical="center"/>
    </xf>
    <xf numFmtId="164" fontId="84" fillId="0" borderId="35" xfId="0" applyNumberFormat="1" applyFont="1" applyBorder="1" applyAlignment="1" applyProtection="1">
      <alignment horizontal="center" vertical="center"/>
    </xf>
    <xf numFmtId="4" fontId="9" fillId="3" borderId="65" xfId="1" applyNumberFormat="1" applyFont="1" applyFill="1" applyBorder="1" applyAlignment="1" applyProtection="1">
      <alignment horizontal="center" vertical="center" shrinkToFit="1"/>
      <protection locked="0"/>
    </xf>
    <xf numFmtId="164" fontId="9" fillId="0" borderId="65" xfId="1" applyNumberFormat="1" applyFont="1" applyFill="1" applyBorder="1" applyAlignment="1" applyProtection="1">
      <alignment horizontal="center" vertical="center" shrinkToFit="1"/>
    </xf>
    <xf numFmtId="166" fontId="29" fillId="3" borderId="65" xfId="1" applyNumberFormat="1" applyFont="1" applyFill="1" applyBorder="1" applyAlignment="1" applyProtection="1">
      <alignment horizontal="center" vertical="center" shrinkToFit="1"/>
      <protection locked="0"/>
    </xf>
    <xf numFmtId="166" fontId="30" fillId="3" borderId="65" xfId="1" applyNumberFormat="1" applyFont="1" applyFill="1" applyBorder="1" applyAlignment="1" applyProtection="1">
      <alignment horizontal="center" vertical="center" shrinkToFit="1"/>
      <protection locked="0"/>
    </xf>
    <xf numFmtId="165" fontId="14" fillId="3" borderId="65" xfId="1" applyNumberFormat="1" applyFont="1" applyFill="1" applyBorder="1" applyAlignment="1" applyProtection="1">
      <alignment horizontal="center" vertical="center" shrinkToFit="1"/>
      <protection locked="0"/>
    </xf>
    <xf numFmtId="165" fontId="5" fillId="3" borderId="65" xfId="1" applyNumberFormat="1" applyFont="1" applyFill="1" applyBorder="1" applyAlignment="1" applyProtection="1">
      <alignment horizontal="center" vertical="center" shrinkToFit="1"/>
      <protection locked="0"/>
    </xf>
    <xf numFmtId="165" fontId="14" fillId="3" borderId="84" xfId="1" applyNumberFormat="1" applyFont="1" applyFill="1" applyBorder="1" applyAlignment="1" applyProtection="1">
      <alignment horizontal="center" vertical="center" shrinkToFit="1"/>
      <protection locked="0"/>
    </xf>
    <xf numFmtId="165" fontId="30" fillId="6" borderId="85" xfId="1" applyNumberFormat="1" applyFont="1" applyFill="1" applyBorder="1" applyAlignment="1" applyProtection="1">
      <alignment horizontal="center" vertical="center" shrinkToFit="1"/>
    </xf>
    <xf numFmtId="165" fontId="30" fillId="6" borderId="86" xfId="1" applyNumberFormat="1" applyFont="1" applyFill="1" applyBorder="1" applyAlignment="1" applyProtection="1">
      <alignment horizontal="center" vertical="center" shrinkToFit="1"/>
    </xf>
    <xf numFmtId="4" fontId="46" fillId="0" borderId="0" xfId="0" applyNumberFormat="1" applyFont="1" applyFill="1" applyBorder="1" applyAlignment="1" applyProtection="1">
      <alignment horizontal="center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170" fontId="7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59" fillId="0" borderId="0" xfId="0" applyFont="1" applyFill="1" applyBorder="1" applyAlignment="1" applyProtection="1">
      <alignment vertical="center"/>
    </xf>
    <xf numFmtId="0" fontId="70" fillId="0" borderId="0" xfId="0" applyFont="1" applyFill="1" applyBorder="1" applyAlignment="1" applyProtection="1">
      <alignment vertical="center"/>
    </xf>
    <xf numFmtId="2" fontId="8" fillId="5" borderId="34" xfId="1" applyNumberFormat="1" applyFont="1" applyFill="1" applyBorder="1" applyAlignment="1" applyProtection="1">
      <alignment horizontal="center" vertical="center" shrinkToFit="1"/>
    </xf>
    <xf numFmtId="2" fontId="8" fillId="5" borderId="36" xfId="1" applyNumberFormat="1" applyFont="1" applyFill="1" applyBorder="1" applyAlignment="1" applyProtection="1">
      <alignment horizontal="center" vertical="center" shrinkToFit="1"/>
    </xf>
    <xf numFmtId="167" fontId="13" fillId="0" borderId="0" xfId="0" applyNumberFormat="1" applyFont="1" applyFill="1" applyBorder="1" applyAlignment="1" applyProtection="1">
      <alignment vertical="center" shrinkToFit="1"/>
    </xf>
    <xf numFmtId="0" fontId="46" fillId="0" borderId="0" xfId="0" applyNumberFormat="1" applyFont="1" applyFill="1" applyBorder="1" applyAlignment="1" applyProtection="1">
      <alignment vertical="center" wrapText="1" shrinkToFit="1"/>
    </xf>
    <xf numFmtId="1" fontId="46" fillId="0" borderId="0" xfId="0" applyNumberFormat="1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vertical="center" shrinkToFit="1"/>
    </xf>
    <xf numFmtId="0" fontId="41" fillId="9" borderId="0" xfId="0" applyFont="1" applyFill="1" applyBorder="1" applyProtection="1"/>
    <xf numFmtId="0" fontId="41" fillId="0" borderId="0" xfId="0" applyFont="1" applyProtection="1"/>
    <xf numFmtId="0" fontId="41" fillId="0" borderId="35" xfId="0" applyFont="1" applyBorder="1" applyProtection="1"/>
    <xf numFmtId="0" fontId="41" fillId="0" borderId="0" xfId="0" applyFont="1" applyBorder="1" applyProtection="1"/>
    <xf numFmtId="0" fontId="85" fillId="0" borderId="35" xfId="0" applyFont="1" applyBorder="1" applyAlignment="1" applyProtection="1">
      <alignment horizontal="left" vertical="center"/>
    </xf>
    <xf numFmtId="0" fontId="41" fillId="0" borderId="0" xfId="0" applyFont="1" applyFill="1" applyBorder="1" applyProtection="1"/>
    <xf numFmtId="0" fontId="85" fillId="0" borderId="38" xfId="0" applyFont="1" applyBorder="1" applyAlignment="1" applyProtection="1">
      <alignment horizontal="left" vertical="center"/>
    </xf>
    <xf numFmtId="0" fontId="41" fillId="0" borderId="0" xfId="0" applyFont="1" applyFill="1" applyProtection="1"/>
    <xf numFmtId="0" fontId="47" fillId="0" borderId="35" xfId="0" applyFont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 wrapText="1"/>
    </xf>
    <xf numFmtId="0" fontId="49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88" fillId="0" borderId="0" xfId="0" applyFont="1" applyFill="1" applyBorder="1" applyAlignment="1" applyProtection="1">
      <alignment vertical="center"/>
    </xf>
    <xf numFmtId="0" fontId="46" fillId="0" borderId="5" xfId="0" applyNumberFormat="1" applyFont="1" applyFill="1" applyBorder="1" applyAlignment="1" applyProtection="1">
      <alignment vertical="center" wrapText="1" shrinkToFit="1"/>
    </xf>
    <xf numFmtId="0" fontId="5" fillId="0" borderId="5" xfId="0" applyFont="1" applyFill="1" applyBorder="1" applyAlignment="1" applyProtection="1">
      <alignment vertical="center"/>
    </xf>
    <xf numFmtId="0" fontId="28" fillId="0" borderId="13" xfId="0" applyNumberFormat="1" applyFont="1" applyFill="1" applyBorder="1" applyAlignment="1" applyProtection="1">
      <alignment horizontal="center" vertical="center" wrapText="1" shrinkToFit="1"/>
    </xf>
    <xf numFmtId="4" fontId="40" fillId="0" borderId="0" xfId="0" applyNumberFormat="1" applyFont="1" applyAlignment="1" applyProtection="1">
      <alignment vertical="center"/>
    </xf>
    <xf numFmtId="172" fontId="25" fillId="0" borderId="0" xfId="0" applyNumberFormat="1" applyFont="1" applyFill="1" applyBorder="1" applyAlignment="1" applyProtection="1">
      <alignment horizontal="center" vertical="center"/>
    </xf>
    <xf numFmtId="0" fontId="85" fillId="0" borderId="90" xfId="0" applyFont="1" applyFill="1" applyBorder="1" applyAlignment="1" applyProtection="1">
      <alignment horizontal="right" vertical="center"/>
    </xf>
    <xf numFmtId="164" fontId="94" fillId="0" borderId="28" xfId="0" applyNumberFormat="1" applyFont="1" applyBorder="1" applyAlignment="1" applyProtection="1">
      <alignment horizontal="right" vertical="center"/>
    </xf>
    <xf numFmtId="164" fontId="60" fillId="0" borderId="29" xfId="0" applyNumberFormat="1" applyFont="1" applyBorder="1" applyAlignment="1" applyProtection="1">
      <alignment horizontal="center" vertical="center"/>
    </xf>
    <xf numFmtId="164" fontId="60" fillId="0" borderId="32" xfId="0" applyNumberFormat="1" applyFont="1" applyBorder="1" applyAlignment="1" applyProtection="1">
      <alignment horizontal="center" vertical="center"/>
    </xf>
    <xf numFmtId="0" fontId="91" fillId="0" borderId="5" xfId="0" applyFont="1" applyBorder="1" applyAlignment="1" applyProtection="1">
      <alignment vertical="center"/>
    </xf>
    <xf numFmtId="164" fontId="60" fillId="0" borderId="26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9" fontId="28" fillId="3" borderId="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9" fillId="3" borderId="82" xfId="1" applyNumberFormat="1" applyFont="1" applyFill="1" applyBorder="1" applyAlignment="1" applyProtection="1">
      <alignment horizontal="center" vertical="center" shrinkToFit="1"/>
      <protection locked="0"/>
    </xf>
    <xf numFmtId="0" fontId="6" fillId="6" borderId="82" xfId="1" applyFont="1" applyFill="1" applyBorder="1" applyAlignment="1" applyProtection="1">
      <alignment vertical="center" shrinkToFit="1"/>
    </xf>
    <xf numFmtId="164" fontId="9" fillId="0" borderId="82" xfId="1" applyNumberFormat="1" applyFont="1" applyFill="1" applyBorder="1" applyAlignment="1" applyProtection="1">
      <alignment horizontal="center" vertical="center" shrinkToFit="1"/>
    </xf>
    <xf numFmtId="2" fontId="8" fillId="6" borderId="82" xfId="1" applyNumberFormat="1" applyFont="1" applyFill="1" applyBorder="1" applyAlignment="1" applyProtection="1">
      <alignment horizontal="center" vertical="center" shrinkToFit="1"/>
    </xf>
    <xf numFmtId="166" fontId="29" fillId="3" borderId="82" xfId="1" applyNumberFormat="1" applyFont="1" applyFill="1" applyBorder="1" applyAlignment="1" applyProtection="1">
      <alignment horizontal="center" vertical="center" shrinkToFit="1"/>
      <protection locked="0"/>
    </xf>
    <xf numFmtId="165" fontId="14" fillId="3" borderId="82" xfId="1" applyNumberFormat="1" applyFont="1" applyFill="1" applyBorder="1" applyAlignment="1" applyProtection="1">
      <alignment horizontal="center" vertical="center" shrinkToFit="1"/>
      <protection locked="0"/>
    </xf>
    <xf numFmtId="165" fontId="5" fillId="3" borderId="82" xfId="1" applyNumberFormat="1" applyFont="1" applyFill="1" applyBorder="1" applyAlignment="1" applyProtection="1">
      <alignment horizontal="center" vertical="center" shrinkToFit="1"/>
      <protection locked="0"/>
    </xf>
    <xf numFmtId="165" fontId="14" fillId="3" borderId="95" xfId="1" applyNumberFormat="1" applyFont="1" applyFill="1" applyBorder="1" applyAlignment="1" applyProtection="1">
      <alignment horizontal="center" vertical="center" shrinkToFit="1"/>
      <protection locked="0"/>
    </xf>
    <xf numFmtId="0" fontId="98" fillId="3" borderId="94" xfId="0" applyFont="1" applyFill="1" applyBorder="1" applyAlignment="1" applyProtection="1">
      <alignment horizontal="right" vertical="center" shrinkToFit="1"/>
      <protection locked="0"/>
    </xf>
    <xf numFmtId="0" fontId="97" fillId="3" borderId="87" xfId="0" applyFont="1" applyFill="1" applyBorder="1" applyAlignment="1" applyProtection="1">
      <alignment horizontal="right" vertical="center" shrinkToFit="1"/>
      <protection locked="0"/>
    </xf>
    <xf numFmtId="0" fontId="97" fillId="3" borderId="30" xfId="0" applyFont="1" applyFill="1" applyBorder="1" applyAlignment="1" applyProtection="1">
      <alignment horizontal="right" vertical="center" shrinkToFit="1"/>
      <protection locked="0"/>
    </xf>
    <xf numFmtId="0" fontId="96" fillId="3" borderId="87" xfId="0" applyFont="1" applyFill="1" applyBorder="1" applyAlignment="1" applyProtection="1">
      <alignment horizontal="right" vertical="center" shrinkToFit="1"/>
      <protection locked="0"/>
    </xf>
    <xf numFmtId="165" fontId="30" fillId="6" borderId="96" xfId="1" applyNumberFormat="1" applyFont="1" applyFill="1" applyBorder="1" applyAlignment="1" applyProtection="1">
      <alignment horizontal="center" vertical="center" shrinkToFit="1"/>
    </xf>
    <xf numFmtId="0" fontId="29" fillId="3" borderId="97" xfId="0" applyFont="1" applyFill="1" applyBorder="1" applyAlignment="1" applyProtection="1">
      <alignment horizontal="center" vertical="center"/>
      <protection locked="0"/>
    </xf>
    <xf numFmtId="0" fontId="46" fillId="0" borderId="9" xfId="0" applyNumberFormat="1" applyFont="1" applyFill="1" applyBorder="1" applyAlignment="1" applyProtection="1">
      <alignment vertical="center" wrapText="1" shrinkToFit="1"/>
    </xf>
    <xf numFmtId="0" fontId="9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98" xfId="0" applyNumberFormat="1" applyFont="1" applyFill="1" applyBorder="1" applyAlignment="1" applyProtection="1">
      <alignment horizontal="center" vertical="center" wrapText="1" shrinkToFit="1"/>
    </xf>
    <xf numFmtId="0" fontId="9" fillId="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vertical="center"/>
    </xf>
    <xf numFmtId="0" fontId="103" fillId="0" borderId="0" xfId="0" applyFont="1" applyFill="1" applyProtection="1"/>
    <xf numFmtId="0" fontId="104" fillId="0" borderId="0" xfId="0" applyFont="1" applyFill="1" applyProtection="1"/>
    <xf numFmtId="0" fontId="105" fillId="0" borderId="0" xfId="0" applyFont="1" applyFill="1" applyBorder="1" applyAlignment="1" applyProtection="1">
      <alignment vertical="center"/>
    </xf>
    <xf numFmtId="0" fontId="106" fillId="0" borderId="0" xfId="0" applyFont="1" applyFill="1" applyBorder="1" applyAlignment="1" applyProtection="1">
      <alignment horizontal="right" vertical="center"/>
    </xf>
    <xf numFmtId="164" fontId="31" fillId="10" borderId="99" xfId="1" applyNumberFormat="1" applyFont="1" applyFill="1" applyBorder="1" applyAlignment="1" applyProtection="1">
      <alignment horizontal="center" vertical="center" shrinkToFit="1"/>
    </xf>
    <xf numFmtId="164" fontId="29" fillId="0" borderId="99" xfId="1" applyNumberFormat="1" applyFont="1" applyFill="1" applyBorder="1" applyAlignment="1" applyProtection="1">
      <alignment horizontal="center" vertical="center" shrinkToFit="1"/>
    </xf>
    <xf numFmtId="164" fontId="9" fillId="0" borderId="99" xfId="1" applyNumberFormat="1" applyFont="1" applyFill="1" applyBorder="1" applyAlignment="1" applyProtection="1">
      <alignment horizontal="center" vertical="center" shrinkToFit="1"/>
    </xf>
    <xf numFmtId="2" fontId="8" fillId="5" borderId="99" xfId="1" applyNumberFormat="1" applyFont="1" applyFill="1" applyBorder="1" applyAlignment="1" applyProtection="1">
      <alignment horizontal="center" vertical="center" shrinkToFit="1"/>
    </xf>
    <xf numFmtId="166" fontId="14" fillId="0" borderId="99" xfId="1" applyNumberFormat="1" applyFont="1" applyFill="1" applyBorder="1" applyAlignment="1" applyProtection="1">
      <alignment horizontal="center" vertical="center" shrinkToFit="1"/>
    </xf>
    <xf numFmtId="165" fontId="14" fillId="0" borderId="99" xfId="1" applyNumberFormat="1" applyFont="1" applyFill="1" applyBorder="1" applyAlignment="1" applyProtection="1">
      <alignment horizontal="center" vertical="center" shrinkToFit="1"/>
    </xf>
    <xf numFmtId="165" fontId="14" fillId="0" borderId="100" xfId="1" applyNumberFormat="1" applyFont="1" applyFill="1" applyBorder="1" applyAlignment="1" applyProtection="1">
      <alignment horizontal="center" vertical="center" shrinkToFit="1"/>
    </xf>
    <xf numFmtId="0" fontId="4" fillId="0" borderId="101" xfId="0" applyFont="1" applyFill="1" applyBorder="1" applyAlignment="1" applyProtection="1">
      <alignment horizontal="right" vertical="center"/>
    </xf>
    <xf numFmtId="4" fontId="9" fillId="3" borderId="86" xfId="1" applyNumberFormat="1" applyFont="1" applyFill="1" applyBorder="1" applyAlignment="1" applyProtection="1">
      <alignment horizontal="center" vertical="center" shrinkToFit="1"/>
      <protection locked="0"/>
    </xf>
    <xf numFmtId="164" fontId="31" fillId="10" borderId="86" xfId="1" applyNumberFormat="1" applyFont="1" applyFill="1" applyBorder="1" applyAlignment="1" applyProtection="1">
      <alignment horizontal="center" vertical="center" shrinkToFit="1"/>
    </xf>
    <xf numFmtId="2" fontId="8" fillId="5" borderId="86" xfId="1" applyNumberFormat="1" applyFont="1" applyFill="1" applyBorder="1" applyAlignment="1" applyProtection="1">
      <alignment horizontal="center" vertical="center" shrinkToFit="1"/>
    </xf>
    <xf numFmtId="4" fontId="39" fillId="0" borderId="19" xfId="0" applyNumberFormat="1" applyFont="1" applyFill="1" applyBorder="1" applyAlignment="1" applyProtection="1">
      <alignment horizontal="center" vertical="center"/>
    </xf>
    <xf numFmtId="173" fontId="60" fillId="0" borderId="25" xfId="0" applyNumberFormat="1" applyFont="1" applyBorder="1" applyAlignment="1" applyProtection="1">
      <alignment horizontal="center" vertical="center"/>
    </xf>
    <xf numFmtId="0" fontId="107" fillId="0" borderId="0" xfId="0" applyFont="1" applyFill="1" applyProtection="1"/>
    <xf numFmtId="0" fontId="109" fillId="0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right" vertical="center"/>
    </xf>
    <xf numFmtId="0" fontId="1" fillId="6" borderId="22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96" fillId="3" borderId="30" xfId="0" applyFont="1" applyFill="1" applyBorder="1" applyAlignment="1" applyProtection="1">
      <alignment horizontal="right" vertical="center" shrinkToFit="1"/>
      <protection locked="0"/>
    </xf>
    <xf numFmtId="164" fontId="94" fillId="0" borderId="30" xfId="0" applyNumberFormat="1" applyFont="1" applyBorder="1" applyAlignment="1" applyProtection="1">
      <alignment horizontal="right" vertical="center"/>
    </xf>
    <xf numFmtId="0" fontId="29" fillId="3" borderId="74" xfId="0" applyFont="1" applyFill="1" applyBorder="1" applyAlignment="1" applyProtection="1">
      <alignment horizontal="center" vertical="center"/>
      <protection locked="0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11" borderId="22" xfId="0" applyFont="1" applyFill="1" applyBorder="1" applyAlignment="1" applyProtection="1">
      <alignment horizontal="center" vertical="center" wrapText="1"/>
    </xf>
    <xf numFmtId="165" fontId="14" fillId="0" borderId="103" xfId="1" applyNumberFormat="1" applyFont="1" applyFill="1" applyBorder="1" applyAlignment="1" applyProtection="1">
      <alignment horizontal="center" vertical="center" shrinkToFit="1"/>
    </xf>
    <xf numFmtId="165" fontId="14" fillId="0" borderId="108" xfId="1" applyNumberFormat="1" applyFont="1" applyFill="1" applyBorder="1" applyAlignment="1" applyProtection="1">
      <alignment horizontal="center" vertical="center" shrinkToFit="1"/>
    </xf>
    <xf numFmtId="165" fontId="14" fillId="0" borderId="109" xfId="1" applyNumberFormat="1" applyFont="1" applyFill="1" applyBorder="1" applyAlignment="1" applyProtection="1">
      <alignment horizontal="center" vertical="center" shrinkToFit="1"/>
    </xf>
    <xf numFmtId="165" fontId="14" fillId="0" borderId="110" xfId="1" applyNumberFormat="1" applyFont="1" applyFill="1" applyBorder="1" applyAlignment="1" applyProtection="1">
      <alignment horizontal="center" vertical="center" shrinkToFit="1"/>
    </xf>
    <xf numFmtId="165" fontId="14" fillId="0" borderId="111" xfId="1" applyNumberFormat="1" applyFont="1" applyFill="1" applyBorder="1" applyAlignment="1" applyProtection="1">
      <alignment horizontal="center" vertical="center" shrinkToFit="1"/>
    </xf>
    <xf numFmtId="165" fontId="14" fillId="0" borderId="91" xfId="1" applyNumberFormat="1" applyFont="1" applyFill="1" applyBorder="1" applyAlignment="1" applyProtection="1">
      <alignment horizontal="center" vertical="center" shrinkToFit="1"/>
    </xf>
    <xf numFmtId="165" fontId="14" fillId="0" borderId="93" xfId="1" applyNumberFormat="1" applyFont="1" applyFill="1" applyBorder="1" applyAlignment="1" applyProtection="1">
      <alignment horizontal="center" vertical="center" shrinkToFit="1"/>
    </xf>
    <xf numFmtId="165" fontId="14" fillId="0" borderId="113" xfId="1" applyNumberFormat="1" applyFont="1" applyFill="1" applyBorder="1" applyAlignment="1" applyProtection="1">
      <alignment horizontal="center" vertical="center" shrinkToFit="1"/>
    </xf>
    <xf numFmtId="165" fontId="14" fillId="0" borderId="6" xfId="1" applyNumberFormat="1" applyFont="1" applyFill="1" applyBorder="1" applyAlignment="1" applyProtection="1">
      <alignment horizontal="center" vertical="center" shrinkToFit="1"/>
    </xf>
    <xf numFmtId="165" fontId="14" fillId="0" borderId="114" xfId="1" applyNumberFormat="1" applyFont="1" applyFill="1" applyBorder="1" applyAlignment="1" applyProtection="1">
      <alignment horizontal="center" vertical="center" shrinkToFit="1"/>
    </xf>
    <xf numFmtId="165" fontId="30" fillId="6" borderId="99" xfId="1" applyNumberFormat="1" applyFont="1" applyFill="1" applyBorder="1" applyAlignment="1" applyProtection="1">
      <alignment horizontal="center" vertical="center" shrinkToFit="1"/>
    </xf>
    <xf numFmtId="165" fontId="30" fillId="6" borderId="106" xfId="1" applyNumberFormat="1" applyFont="1" applyFill="1" applyBorder="1" applyAlignment="1" applyProtection="1">
      <alignment horizontal="center" vertical="center" shrinkToFit="1"/>
    </xf>
    <xf numFmtId="0" fontId="6" fillId="6" borderId="99" xfId="1" applyFont="1" applyFill="1" applyBorder="1" applyAlignment="1" applyProtection="1">
      <alignment vertical="center" shrinkToFit="1"/>
    </xf>
    <xf numFmtId="0" fontId="6" fillId="6" borderId="106" xfId="1" applyFont="1" applyFill="1" applyBorder="1" applyAlignment="1" applyProtection="1">
      <alignment vertical="center" shrinkToFit="1"/>
    </xf>
    <xf numFmtId="0" fontId="6" fillId="6" borderId="86" xfId="1" applyFont="1" applyFill="1" applyBorder="1" applyAlignment="1" applyProtection="1">
      <alignment vertical="center" shrinkToFit="1"/>
    </xf>
    <xf numFmtId="0" fontId="6" fillId="6" borderId="85" xfId="1" applyFont="1" applyFill="1" applyBorder="1" applyAlignment="1" applyProtection="1">
      <alignment vertical="center" shrinkToFit="1"/>
    </xf>
    <xf numFmtId="0" fontId="96" fillId="3" borderId="94" xfId="0" applyFont="1" applyFill="1" applyBorder="1" applyAlignment="1" applyProtection="1">
      <alignment horizontal="right" vertical="center" shrinkToFit="1"/>
      <protection locked="0"/>
    </xf>
    <xf numFmtId="164" fontId="9" fillId="3" borderId="82" xfId="1" applyNumberFormat="1" applyFont="1" applyFill="1" applyBorder="1" applyAlignment="1" applyProtection="1">
      <alignment horizontal="center" vertical="center" shrinkToFit="1"/>
      <protection locked="0"/>
    </xf>
    <xf numFmtId="165" fontId="30" fillId="6" borderId="82" xfId="1" applyNumberFormat="1" applyFont="1" applyFill="1" applyBorder="1" applyAlignment="1" applyProtection="1">
      <alignment horizontal="center" vertical="center" shrinkToFit="1"/>
    </xf>
    <xf numFmtId="164" fontId="29" fillId="0" borderId="65" xfId="1" applyNumberFormat="1" applyFont="1" applyFill="1" applyBorder="1" applyAlignment="1" applyProtection="1">
      <alignment horizontal="center" vertical="center" shrinkToFit="1"/>
    </xf>
    <xf numFmtId="164" fontId="29" fillId="0" borderId="103" xfId="1" applyNumberFormat="1" applyFont="1" applyFill="1" applyBorder="1" applyAlignment="1" applyProtection="1">
      <alignment horizontal="center" vertical="center" shrinkToFit="1"/>
    </xf>
    <xf numFmtId="164" fontId="9" fillId="3" borderId="96" xfId="1" applyNumberFormat="1" applyFont="1" applyFill="1" applyBorder="1" applyAlignment="1" applyProtection="1">
      <alignment horizontal="center" vertical="center" shrinkToFit="1"/>
      <protection locked="0"/>
    </xf>
    <xf numFmtId="172" fontId="9" fillId="3" borderId="65" xfId="1" applyNumberFormat="1" applyFont="1" applyFill="1" applyBorder="1" applyAlignment="1" applyProtection="1">
      <alignment horizontal="center" vertical="center" shrinkToFit="1"/>
      <protection locked="0"/>
    </xf>
    <xf numFmtId="172" fontId="9" fillId="3" borderId="31" xfId="1" applyNumberFormat="1" applyFont="1" applyFill="1" applyBorder="1" applyAlignment="1" applyProtection="1">
      <alignment horizontal="center" vertical="center" shrinkToFit="1"/>
      <protection locked="0"/>
    </xf>
    <xf numFmtId="164" fontId="31" fillId="10" borderId="17" xfId="1" applyNumberFormat="1" applyFont="1" applyFill="1" applyBorder="1" applyAlignment="1" applyProtection="1">
      <alignment horizontal="center" vertical="center" shrinkToFit="1"/>
    </xf>
    <xf numFmtId="164" fontId="29" fillId="0" borderId="17" xfId="1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6" borderId="22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2" fontId="26" fillId="0" borderId="5" xfId="0" applyNumberFormat="1" applyFont="1" applyFill="1" applyBorder="1" applyAlignment="1" applyProtection="1">
      <alignment horizontal="center" vertical="center"/>
    </xf>
    <xf numFmtId="2" fontId="29" fillId="0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vertical="center" wrapText="1" shrinkToFit="1"/>
    </xf>
    <xf numFmtId="1" fontId="46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47" fillId="0" borderId="35" xfId="0" applyFont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 wrapText="1"/>
    </xf>
    <xf numFmtId="164" fontId="9" fillId="0" borderId="83" xfId="2" applyNumberFormat="1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vertical="center"/>
    </xf>
    <xf numFmtId="0" fontId="49" fillId="0" borderId="0" xfId="0" applyFont="1" applyBorder="1" applyAlignment="1" applyProtection="1">
      <alignment vertical="center"/>
    </xf>
    <xf numFmtId="170" fontId="52" fillId="0" borderId="89" xfId="2" applyNumberFormat="1" applyFont="1" applyFill="1" applyBorder="1" applyAlignment="1" applyProtection="1">
      <alignment horizontal="center" vertical="center" shrinkToFit="1"/>
    </xf>
    <xf numFmtId="0" fontId="41" fillId="0" borderId="2" xfId="0" applyFont="1" applyFill="1" applyBorder="1" applyProtection="1"/>
    <xf numFmtId="0" fontId="49" fillId="0" borderId="2" xfId="0" applyFont="1" applyBorder="1" applyAlignment="1" applyProtection="1">
      <alignment vertical="center"/>
    </xf>
    <xf numFmtId="0" fontId="104" fillId="0" borderId="0" xfId="0" applyFont="1" applyFill="1" applyProtection="1"/>
    <xf numFmtId="170" fontId="52" fillId="0" borderId="37" xfId="2" applyNumberFormat="1" applyFont="1" applyFill="1" applyBorder="1" applyAlignment="1" applyProtection="1">
      <alignment horizontal="center" vertical="center" shrinkToFit="1"/>
    </xf>
    <xf numFmtId="170" fontId="29" fillId="3" borderId="31" xfId="2" applyNumberFormat="1" applyFont="1" applyFill="1" applyBorder="1" applyAlignment="1" applyProtection="1">
      <alignment horizontal="center" vertical="center" shrinkToFit="1"/>
      <protection locked="0"/>
    </xf>
    <xf numFmtId="170" fontId="29" fillId="3" borderId="30" xfId="2" applyNumberFormat="1" applyFont="1" applyFill="1" applyBorder="1" applyAlignment="1" applyProtection="1">
      <alignment horizontal="center" vertical="center" shrinkToFit="1"/>
      <protection locked="0"/>
    </xf>
    <xf numFmtId="164" fontId="9" fillId="12" borderId="31" xfId="2" applyNumberFormat="1" applyFont="1" applyFill="1" applyBorder="1" applyAlignment="1" applyProtection="1">
      <alignment horizontal="center" vertical="center" shrinkToFit="1"/>
    </xf>
    <xf numFmtId="164" fontId="9" fillId="12" borderId="32" xfId="2" applyNumberFormat="1" applyFont="1" applyFill="1" applyBorder="1" applyAlignment="1" applyProtection="1">
      <alignment horizontal="center" vertical="center" shrinkToFit="1"/>
    </xf>
    <xf numFmtId="0" fontId="28" fillId="12" borderId="15" xfId="0" applyNumberFormat="1" applyFont="1" applyFill="1" applyBorder="1" applyAlignment="1" applyProtection="1">
      <alignment horizontal="center" vertical="center" wrapText="1" shrinkToFit="1"/>
    </xf>
    <xf numFmtId="0" fontId="9" fillId="12" borderId="18" xfId="0" applyNumberFormat="1" applyFont="1" applyFill="1" applyBorder="1" applyAlignment="1" applyProtection="1">
      <alignment horizontal="center" vertical="center" wrapText="1" shrinkToFit="1"/>
    </xf>
    <xf numFmtId="172" fontId="25" fillId="12" borderId="0" xfId="0" applyNumberFormat="1" applyFont="1" applyFill="1" applyBorder="1" applyAlignment="1" applyProtection="1">
      <alignment horizontal="center" vertical="center"/>
    </xf>
    <xf numFmtId="172" fontId="25" fillId="12" borderId="7" xfId="0" applyNumberFormat="1" applyFont="1" applyFill="1" applyBorder="1" applyAlignment="1" applyProtection="1">
      <alignment horizontal="center" vertical="center"/>
    </xf>
    <xf numFmtId="172" fontId="25" fillId="12" borderId="5" xfId="0" applyNumberFormat="1" applyFont="1" applyFill="1" applyBorder="1" applyAlignment="1" applyProtection="1">
      <alignment horizontal="center" vertical="center"/>
    </xf>
    <xf numFmtId="0" fontId="59" fillId="0" borderId="5" xfId="0" applyFont="1" applyFill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87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horizontal="right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164" fontId="28" fillId="8" borderId="8" xfId="0" applyNumberFormat="1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Border="1" applyAlignment="1" applyProtection="1">
      <alignment horizontal="center" vertical="center" wrapText="1"/>
    </xf>
    <xf numFmtId="164" fontId="9" fillId="12" borderId="99" xfId="1" applyNumberFormat="1" applyFont="1" applyFill="1" applyBorder="1" applyAlignment="1" applyProtection="1">
      <alignment horizontal="center" vertical="center" shrinkToFit="1"/>
    </xf>
    <xf numFmtId="164" fontId="9" fillId="12" borderId="103" xfId="1" applyNumberFormat="1" applyFont="1" applyFill="1" applyBorder="1" applyAlignment="1" applyProtection="1">
      <alignment horizontal="center" vertical="center" shrinkToFit="1"/>
    </xf>
    <xf numFmtId="164" fontId="9" fillId="12" borderId="11" xfId="1" applyNumberFormat="1" applyFont="1" applyFill="1" applyBorder="1" applyAlignment="1" applyProtection="1">
      <alignment horizontal="center" vertical="center" shrinkToFit="1"/>
    </xf>
    <xf numFmtId="164" fontId="9" fillId="12" borderId="14" xfId="1" applyNumberFormat="1" applyFont="1" applyFill="1" applyBorder="1" applyAlignment="1" applyProtection="1">
      <alignment horizontal="center" vertical="center" shrinkToFit="1"/>
    </xf>
    <xf numFmtId="164" fontId="9" fillId="12" borderId="17" xfId="1" applyNumberFormat="1" applyFont="1" applyFill="1" applyBorder="1" applyAlignment="1" applyProtection="1">
      <alignment horizontal="center" vertical="center" shrinkToFit="1"/>
    </xf>
    <xf numFmtId="164" fontId="9" fillId="12" borderId="65" xfId="1" applyNumberFormat="1" applyFont="1" applyFill="1" applyBorder="1" applyAlignment="1" applyProtection="1">
      <alignment horizontal="center" vertical="center" shrinkToFit="1"/>
    </xf>
    <xf numFmtId="164" fontId="9" fillId="12" borderId="31" xfId="1" applyNumberFormat="1" applyFont="1" applyFill="1" applyBorder="1" applyAlignment="1" applyProtection="1">
      <alignment horizontal="center" vertical="center" shrinkToFit="1"/>
    </xf>
    <xf numFmtId="164" fontId="29" fillId="12" borderId="99" xfId="1" applyNumberFormat="1" applyFont="1" applyFill="1" applyBorder="1" applyAlignment="1" applyProtection="1">
      <alignment horizontal="center" vertical="center" shrinkToFit="1"/>
    </xf>
    <xf numFmtId="164" fontId="29" fillId="12" borderId="14" xfId="1" applyNumberFormat="1" applyFont="1" applyFill="1" applyBorder="1" applyAlignment="1" applyProtection="1">
      <alignment horizontal="center" vertical="center" shrinkToFit="1"/>
    </xf>
    <xf numFmtId="0" fontId="6" fillId="6" borderId="107" xfId="1" applyFont="1" applyFill="1" applyBorder="1" applyAlignment="1" applyProtection="1">
      <alignment vertical="center" shrinkToFit="1"/>
    </xf>
    <xf numFmtId="0" fontId="6" fillId="6" borderId="115" xfId="1" applyFont="1" applyFill="1" applyBorder="1" applyAlignment="1" applyProtection="1">
      <alignment vertical="center" shrinkToFit="1"/>
    </xf>
    <xf numFmtId="0" fontId="6" fillId="6" borderId="79" xfId="1" applyFont="1" applyFill="1" applyBorder="1" applyAlignment="1" applyProtection="1">
      <alignment vertical="center" shrinkToFit="1"/>
    </xf>
    <xf numFmtId="2" fontId="8" fillId="6" borderId="116" xfId="1" applyNumberFormat="1" applyFont="1" applyFill="1" applyBorder="1" applyAlignment="1" applyProtection="1">
      <alignment horizontal="center" vertical="center" shrinkToFit="1"/>
    </xf>
    <xf numFmtId="2" fontId="8" fillId="6" borderId="117" xfId="1" applyNumberFormat="1" applyFont="1" applyFill="1" applyBorder="1" applyAlignment="1" applyProtection="1">
      <alignment horizontal="center" vertical="center" shrinkToFit="1"/>
    </xf>
    <xf numFmtId="2" fontId="8" fillId="6" borderId="80" xfId="1" applyNumberFormat="1" applyFont="1" applyFill="1" applyBorder="1" applyAlignment="1" applyProtection="1">
      <alignment horizontal="center" vertical="center" shrinkToFit="1"/>
    </xf>
    <xf numFmtId="0" fontId="6" fillId="6" borderId="112" xfId="1" applyFont="1" applyFill="1" applyBorder="1" applyAlignment="1" applyProtection="1">
      <alignment vertical="center" shrinkToFit="1"/>
    </xf>
    <xf numFmtId="2" fontId="8" fillId="6" borderId="78" xfId="1" applyNumberFormat="1" applyFont="1" applyFill="1" applyBorder="1" applyAlignment="1" applyProtection="1">
      <alignment horizontal="center" vertical="center" shrinkToFit="1"/>
    </xf>
    <xf numFmtId="2" fontId="8" fillId="6" borderId="119" xfId="1" applyNumberFormat="1" applyFont="1" applyFill="1" applyBorder="1" applyAlignment="1" applyProtection="1">
      <alignment horizontal="center" vertical="center" shrinkToFit="1"/>
    </xf>
    <xf numFmtId="2" fontId="8" fillId="3" borderId="85" xfId="1" applyNumberFormat="1" applyFont="1" applyFill="1" applyBorder="1" applyAlignment="1" applyProtection="1">
      <alignment horizontal="center" vertical="center" shrinkToFit="1"/>
      <protection locked="0"/>
    </xf>
    <xf numFmtId="2" fontId="8" fillId="6" borderId="118" xfId="1" applyNumberFormat="1" applyFont="1" applyFill="1" applyBorder="1" applyAlignment="1" applyProtection="1">
      <alignment horizontal="center" vertical="center" shrinkToFit="1"/>
    </xf>
    <xf numFmtId="0" fontId="6" fillId="6" borderId="77" xfId="1" applyFont="1" applyFill="1" applyBorder="1" applyAlignment="1" applyProtection="1">
      <alignment vertical="center" shrinkToFit="1"/>
    </xf>
    <xf numFmtId="164" fontId="9" fillId="3" borderId="85" xfId="1" applyNumberFormat="1" applyFont="1" applyFill="1" applyBorder="1" applyAlignment="1" applyProtection="1">
      <alignment horizontal="center" vertical="center" shrinkToFit="1"/>
      <protection locked="0"/>
    </xf>
    <xf numFmtId="2" fontId="8" fillId="3" borderId="31" xfId="1" applyNumberFormat="1" applyFont="1" applyFill="1" applyBorder="1" applyAlignment="1" applyProtection="1">
      <alignment horizontal="center" vertical="center" shrinkToFit="1"/>
      <protection locked="0"/>
    </xf>
    <xf numFmtId="164" fontId="9" fillId="12" borderId="19" xfId="1" applyNumberFormat="1" applyFont="1" applyFill="1" applyBorder="1" applyAlignment="1" applyProtection="1">
      <alignment horizontal="center" vertical="center" shrinkToFit="1"/>
    </xf>
    <xf numFmtId="0" fontId="6" fillId="6" borderId="25" xfId="1" applyFont="1" applyFill="1" applyBorder="1" applyAlignment="1" applyProtection="1">
      <alignment vertical="center" shrinkToFit="1"/>
    </xf>
    <xf numFmtId="0" fontId="6" fillId="6" borderId="37" xfId="1" applyFont="1" applyFill="1" applyBorder="1" applyAlignment="1" applyProtection="1">
      <alignment vertical="center" shrinkToFit="1"/>
    </xf>
    <xf numFmtId="0" fontId="6" fillId="6" borderId="2" xfId="1" applyFont="1" applyFill="1" applyBorder="1" applyAlignment="1" applyProtection="1">
      <alignment vertical="center" shrinkToFit="1"/>
    </xf>
    <xf numFmtId="0" fontId="6" fillId="6" borderId="0" xfId="1" applyFont="1" applyFill="1" applyBorder="1" applyAlignment="1" applyProtection="1">
      <alignment vertical="center" shrinkToFit="1"/>
    </xf>
    <xf numFmtId="0" fontId="6" fillId="6" borderId="5" xfId="1" applyFont="1" applyFill="1" applyBorder="1" applyAlignment="1" applyProtection="1">
      <alignment vertical="center" shrinkToFit="1"/>
    </xf>
    <xf numFmtId="0" fontId="6" fillId="6" borderId="120" xfId="1" applyFont="1" applyFill="1" applyBorder="1" applyAlignment="1" applyProtection="1">
      <alignment vertical="center" shrinkToFit="1"/>
    </xf>
    <xf numFmtId="164" fontId="83" fillId="0" borderId="0" xfId="0" applyNumberFormat="1" applyFont="1" applyBorder="1" applyAlignment="1" applyProtection="1">
      <alignment horizontal="center" vertical="center" shrinkToFit="1"/>
    </xf>
    <xf numFmtId="173" fontId="83" fillId="0" borderId="0" xfId="0" applyNumberFormat="1" applyFont="1" applyBorder="1" applyAlignment="1" applyProtection="1">
      <alignment horizontal="center" vertical="center" shrinkToFit="1"/>
    </xf>
    <xf numFmtId="164" fontId="83" fillId="0" borderId="37" xfId="0" applyNumberFormat="1" applyFont="1" applyBorder="1" applyAlignment="1" applyProtection="1">
      <alignment horizontal="center" vertical="center" shrinkToFit="1"/>
    </xf>
    <xf numFmtId="173" fontId="83" fillId="0" borderId="37" xfId="0" applyNumberFormat="1" applyFont="1" applyBorder="1" applyAlignment="1" applyProtection="1">
      <alignment horizontal="center" vertical="center" shrinkToFit="1"/>
    </xf>
    <xf numFmtId="173" fontId="83" fillId="0" borderId="38" xfId="0" applyNumberFormat="1" applyFont="1" applyBorder="1" applyAlignment="1" applyProtection="1">
      <alignment horizontal="center" vertical="center" shrinkToFit="1"/>
    </xf>
    <xf numFmtId="173" fontId="83" fillId="0" borderId="35" xfId="0" applyNumberFormat="1" applyFont="1" applyBorder="1" applyAlignment="1" applyProtection="1">
      <alignment horizontal="center" vertical="center" shrinkToFit="1"/>
    </xf>
    <xf numFmtId="164" fontId="71" fillId="0" borderId="74" xfId="0" applyNumberFormat="1" applyFont="1" applyFill="1" applyBorder="1" applyAlignment="1" applyProtection="1">
      <alignment horizontal="center" vertical="center" shrinkToFit="1"/>
    </xf>
    <xf numFmtId="173" fontId="71" fillId="0" borderId="74" xfId="0" applyNumberFormat="1" applyFont="1" applyFill="1" applyBorder="1" applyAlignment="1" applyProtection="1">
      <alignment horizontal="center" vertical="center" shrinkToFit="1"/>
    </xf>
    <xf numFmtId="173" fontId="71" fillId="0" borderId="12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43" fillId="9" borderId="0" xfId="0" applyFont="1" applyFill="1" applyBorder="1" applyAlignment="1" applyProtection="1">
      <alignment horizontal="right" vertical="center"/>
    </xf>
    <xf numFmtId="0" fontId="18" fillId="0" borderId="55" xfId="0" applyFont="1" applyFill="1" applyBorder="1" applyAlignment="1" applyProtection="1">
      <alignment horizontal="right" vertical="center"/>
    </xf>
    <xf numFmtId="3" fontId="28" fillId="8" borderId="8" xfId="0" applyNumberFormat="1" applyFont="1" applyFill="1" applyBorder="1" applyAlignment="1" applyProtection="1">
      <alignment horizontal="center" vertical="center" shrinkToFit="1"/>
      <protection locked="0"/>
    </xf>
    <xf numFmtId="2" fontId="46" fillId="8" borderId="8" xfId="0" applyNumberFormat="1" applyFont="1" applyFill="1" applyBorder="1" applyAlignment="1" applyProtection="1">
      <alignment horizontal="center" vertical="center" shrinkToFit="1"/>
      <protection locked="0"/>
    </xf>
    <xf numFmtId="3" fontId="25" fillId="0" borderId="37" xfId="0" applyNumberFormat="1" applyFont="1" applyFill="1" applyBorder="1" applyAlignment="1" applyProtection="1">
      <alignment horizontal="center" vertical="center" shrinkToFit="1"/>
    </xf>
    <xf numFmtId="4" fontId="25" fillId="0" borderId="35" xfId="0" applyNumberFormat="1" applyFont="1" applyFill="1" applyBorder="1" applyAlignment="1" applyProtection="1">
      <alignment horizontal="center" vertical="center" shrinkToFit="1"/>
    </xf>
    <xf numFmtId="170" fontId="71" fillId="0" borderId="10" xfId="0" applyNumberFormat="1" applyFont="1" applyFill="1" applyBorder="1" applyAlignment="1" applyProtection="1">
      <alignment horizontal="center" vertical="center" shrinkToFit="1"/>
    </xf>
    <xf numFmtId="170" fontId="71" fillId="0" borderId="11" xfId="0" applyNumberFormat="1" applyFont="1" applyFill="1" applyBorder="1" applyAlignment="1" applyProtection="1">
      <alignment horizontal="center" vertical="center" shrinkToFit="1"/>
    </xf>
    <xf numFmtId="173" fontId="71" fillId="0" borderId="11" xfId="0" applyNumberFormat="1" applyFont="1" applyFill="1" applyBorder="1" applyAlignment="1" applyProtection="1">
      <alignment horizontal="center" vertical="center" shrinkToFit="1"/>
    </xf>
    <xf numFmtId="173" fontId="71" fillId="0" borderId="27" xfId="0" applyNumberFormat="1" applyFont="1" applyFill="1" applyBorder="1" applyAlignment="1" applyProtection="1">
      <alignment horizontal="center" vertical="center" shrinkToFit="1"/>
    </xf>
    <xf numFmtId="170" fontId="71" fillId="0" borderId="33" xfId="0" applyNumberFormat="1" applyFont="1" applyFill="1" applyBorder="1" applyAlignment="1" applyProtection="1">
      <alignment horizontal="center" vertical="center" shrinkToFit="1"/>
    </xf>
    <xf numFmtId="170" fontId="71" fillId="0" borderId="19" xfId="0" applyNumberFormat="1" applyFont="1" applyFill="1" applyBorder="1" applyAlignment="1" applyProtection="1">
      <alignment horizontal="center" vertical="center" shrinkToFit="1"/>
    </xf>
    <xf numFmtId="173" fontId="71" fillId="0" borderId="19" xfId="0" applyNumberFormat="1" applyFont="1" applyFill="1" applyBorder="1" applyAlignment="1" applyProtection="1">
      <alignment horizontal="center" vertical="center" shrinkToFit="1"/>
    </xf>
    <xf numFmtId="173" fontId="71" fillId="0" borderId="67" xfId="0" applyNumberFormat="1" applyFont="1" applyFill="1" applyBorder="1" applyAlignment="1" applyProtection="1">
      <alignment horizontal="center" vertical="center" shrinkToFit="1"/>
    </xf>
    <xf numFmtId="170" fontId="71" fillId="0" borderId="13" xfId="0" applyNumberFormat="1" applyFont="1" applyFill="1" applyBorder="1" applyAlignment="1" applyProtection="1">
      <alignment horizontal="center" vertical="center" shrinkToFit="1"/>
    </xf>
    <xf numFmtId="170" fontId="71" fillId="0" borderId="14" xfId="0" applyNumberFormat="1" applyFont="1" applyFill="1" applyBorder="1" applyAlignment="1" applyProtection="1">
      <alignment horizontal="center" vertical="center" shrinkToFit="1"/>
    </xf>
    <xf numFmtId="173" fontId="71" fillId="0" borderId="14" xfId="0" applyNumberFormat="1" applyFont="1" applyFill="1" applyBorder="1" applyAlignment="1" applyProtection="1">
      <alignment horizontal="center" vertical="center" shrinkToFit="1"/>
    </xf>
    <xf numFmtId="173" fontId="71" fillId="0" borderId="29" xfId="0" applyNumberFormat="1" applyFont="1" applyFill="1" applyBorder="1" applyAlignment="1" applyProtection="1">
      <alignment horizontal="center" vertical="center" shrinkToFit="1"/>
    </xf>
    <xf numFmtId="170" fontId="71" fillId="0" borderId="16" xfId="0" applyNumberFormat="1" applyFont="1" applyFill="1" applyBorder="1" applyAlignment="1" applyProtection="1">
      <alignment horizontal="center" vertical="center" shrinkToFit="1"/>
    </xf>
    <xf numFmtId="170" fontId="71" fillId="0" borderId="17" xfId="0" applyNumberFormat="1" applyFont="1" applyFill="1" applyBorder="1" applyAlignment="1" applyProtection="1">
      <alignment horizontal="center" vertical="center" shrinkToFit="1"/>
    </xf>
    <xf numFmtId="173" fontId="71" fillId="0" borderId="17" xfId="0" applyNumberFormat="1" applyFont="1" applyFill="1" applyBorder="1" applyAlignment="1" applyProtection="1">
      <alignment horizontal="center" vertical="center" shrinkToFit="1"/>
    </xf>
    <xf numFmtId="173" fontId="71" fillId="0" borderId="42" xfId="0" applyNumberFormat="1" applyFont="1" applyFill="1" applyBorder="1" applyAlignment="1" applyProtection="1">
      <alignment horizontal="center" vertical="center" shrinkToFit="1"/>
    </xf>
    <xf numFmtId="170" fontId="29" fillId="0" borderId="37" xfId="0" applyNumberFormat="1" applyFont="1" applyFill="1" applyBorder="1" applyAlignment="1" applyProtection="1">
      <alignment horizontal="center" vertical="center" shrinkToFit="1"/>
    </xf>
    <xf numFmtId="173" fontId="29" fillId="0" borderId="37" xfId="0" applyNumberFormat="1" applyFont="1" applyFill="1" applyBorder="1" applyAlignment="1" applyProtection="1">
      <alignment horizontal="center" vertical="center" shrinkToFit="1"/>
    </xf>
    <xf numFmtId="173" fontId="29" fillId="0" borderId="38" xfId="0" applyNumberFormat="1" applyFont="1" applyFill="1" applyBorder="1" applyAlignment="1" applyProtection="1">
      <alignment horizontal="center" vertical="center" shrinkToFit="1"/>
    </xf>
    <xf numFmtId="170" fontId="5" fillId="0" borderId="0" xfId="0" applyNumberFormat="1" applyFont="1" applyBorder="1" applyAlignment="1" applyProtection="1">
      <alignment horizontal="center" vertical="center" shrinkToFit="1"/>
    </xf>
    <xf numFmtId="173" fontId="5" fillId="0" borderId="0" xfId="0" applyNumberFormat="1" applyFont="1" applyBorder="1" applyAlignment="1" applyProtection="1">
      <alignment horizontal="center" vertical="center" shrinkToFit="1"/>
    </xf>
    <xf numFmtId="164" fontId="5" fillId="0" borderId="0" xfId="0" applyNumberFormat="1" applyFont="1" applyBorder="1" applyAlignment="1" applyProtection="1">
      <alignment horizontal="center" vertical="center" shrinkToFit="1"/>
    </xf>
    <xf numFmtId="164" fontId="25" fillId="0" borderId="35" xfId="0" applyNumberFormat="1" applyFont="1" applyFill="1" applyBorder="1" applyAlignment="1" applyProtection="1">
      <alignment horizontal="center" vertical="center" shrinkToFit="1"/>
    </xf>
    <xf numFmtId="164" fontId="46" fillId="8" borderId="8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Border="1" applyAlignment="1" applyProtection="1">
      <alignment horizontal="center" vertical="center" shrinkToFit="1"/>
    </xf>
    <xf numFmtId="164" fontId="1" fillId="0" borderId="35" xfId="0" applyNumberFormat="1" applyFont="1" applyBorder="1" applyAlignment="1" applyProtection="1">
      <alignment horizontal="center" vertical="center" shrinkToFit="1"/>
    </xf>
    <xf numFmtId="164" fontId="1" fillId="0" borderId="37" xfId="0" applyNumberFormat="1" applyFont="1" applyBorder="1" applyAlignment="1" applyProtection="1">
      <alignment horizontal="center" vertical="center" shrinkToFit="1"/>
    </xf>
    <xf numFmtId="164" fontId="1" fillId="0" borderId="38" xfId="0" applyNumberFormat="1" applyFont="1" applyBorder="1" applyAlignment="1" applyProtection="1">
      <alignment horizontal="center" vertical="center" shrinkToFit="1"/>
    </xf>
    <xf numFmtId="167" fontId="48" fillId="0" borderId="0" xfId="0" applyNumberFormat="1" applyFont="1" applyFill="1" applyBorder="1" applyAlignment="1" applyProtection="1">
      <alignment horizontal="left" vertical="center"/>
    </xf>
    <xf numFmtId="174" fontId="46" fillId="8" borderId="8" xfId="0" applyNumberFormat="1" applyFont="1" applyFill="1" applyBorder="1" applyAlignment="1" applyProtection="1">
      <alignment horizontal="center" vertical="center" shrinkToFit="1"/>
      <protection locked="0"/>
    </xf>
    <xf numFmtId="174" fontId="46" fillId="8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 shrinkToFit="1"/>
    </xf>
    <xf numFmtId="168" fontId="28" fillId="8" borderId="8" xfId="0" applyNumberFormat="1" applyFont="1" applyFill="1" applyBorder="1" applyAlignment="1" applyProtection="1">
      <alignment horizontal="center" vertical="center" shrinkToFit="1"/>
      <protection locked="0"/>
    </xf>
    <xf numFmtId="168" fontId="25" fillId="0" borderId="0" xfId="0" applyNumberFormat="1" applyFont="1" applyFill="1" applyBorder="1" applyAlignment="1" applyProtection="1">
      <alignment horizontal="right" vertical="center" shrinkToFit="1"/>
    </xf>
    <xf numFmtId="4" fontId="9" fillId="0" borderId="19" xfId="0" applyNumberFormat="1" applyFont="1" applyFill="1" applyBorder="1" applyAlignment="1" applyProtection="1">
      <alignment horizontal="center" vertical="center" shrinkToFit="1"/>
    </xf>
    <xf numFmtId="4" fontId="81" fillId="0" borderId="19" xfId="0" applyNumberFormat="1" applyFont="1" applyFill="1" applyBorder="1" applyAlignment="1" applyProtection="1">
      <alignment horizontal="center" vertical="center" shrinkToFit="1"/>
    </xf>
    <xf numFmtId="4" fontId="9" fillId="0" borderId="82" xfId="0" applyNumberFormat="1" applyFont="1" applyFill="1" applyBorder="1" applyAlignment="1" applyProtection="1">
      <alignment horizontal="center" vertical="center" shrinkToFit="1"/>
    </xf>
    <xf numFmtId="4" fontId="9" fillId="0" borderId="31" xfId="0" applyNumberFormat="1" applyFont="1" applyFill="1" applyBorder="1" applyAlignment="1" applyProtection="1">
      <alignment horizontal="center" vertical="center" shrinkToFit="1"/>
    </xf>
    <xf numFmtId="4" fontId="81" fillId="0" borderId="31" xfId="0" applyNumberFormat="1" applyFont="1" applyFill="1" applyBorder="1" applyAlignment="1" applyProtection="1">
      <alignment horizontal="center" vertical="center" shrinkToFit="1"/>
    </xf>
    <xf numFmtId="4" fontId="80" fillId="0" borderId="19" xfId="0" applyNumberFormat="1" applyFont="1" applyFill="1" applyBorder="1" applyAlignment="1" applyProtection="1">
      <alignment horizontal="center" vertical="center" shrinkToFit="1"/>
    </xf>
    <xf numFmtId="4" fontId="9" fillId="13" borderId="19" xfId="0" applyNumberFormat="1" applyFont="1" applyFill="1" applyBorder="1" applyAlignment="1" applyProtection="1">
      <alignment horizontal="center" vertical="center" shrinkToFit="1"/>
    </xf>
    <xf numFmtId="4" fontId="9" fillId="13" borderId="67" xfId="0" applyNumberFormat="1" applyFont="1" applyFill="1" applyBorder="1" applyAlignment="1" applyProtection="1">
      <alignment horizontal="center" vertical="center" shrinkToFit="1"/>
    </xf>
    <xf numFmtId="4" fontId="9" fillId="13" borderId="31" xfId="0" applyNumberFormat="1" applyFont="1" applyFill="1" applyBorder="1" applyAlignment="1" applyProtection="1">
      <alignment horizontal="center" vertical="center" shrinkToFit="1"/>
    </xf>
    <xf numFmtId="4" fontId="9" fillId="13" borderId="32" xfId="0" applyNumberFormat="1" applyFont="1" applyFill="1" applyBorder="1" applyAlignment="1" applyProtection="1">
      <alignment horizontal="center" vertical="center" shrinkToFit="1"/>
    </xf>
    <xf numFmtId="4" fontId="80" fillId="13" borderId="19" xfId="0" applyNumberFormat="1" applyFont="1" applyFill="1" applyBorder="1" applyAlignment="1" applyProtection="1">
      <alignment horizontal="center" vertical="center" shrinkToFit="1"/>
    </xf>
    <xf numFmtId="3" fontId="9" fillId="0" borderId="107" xfId="0" applyNumberFormat="1" applyFont="1" applyFill="1" applyBorder="1" applyAlignment="1" applyProtection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/>
    </xf>
    <xf numFmtId="168" fontId="9" fillId="0" borderId="2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168" fontId="9" fillId="0" borderId="123" xfId="0" applyNumberFormat="1" applyFont="1" applyFill="1" applyBorder="1" applyAlignment="1" applyProtection="1">
      <alignment horizontal="center" vertical="center"/>
    </xf>
    <xf numFmtId="4" fontId="9" fillId="0" borderId="11" xfId="0" applyNumberFormat="1" applyFont="1" applyFill="1" applyBorder="1" applyAlignment="1" applyProtection="1">
      <alignment horizontal="center" vertical="center"/>
    </xf>
    <xf numFmtId="168" fontId="9" fillId="0" borderId="11" xfId="0" applyNumberFormat="1" applyFont="1" applyFill="1" applyBorder="1" applyAlignment="1" applyProtection="1">
      <alignment horizontal="center" vertical="center"/>
    </xf>
    <xf numFmtId="1" fontId="9" fillId="0" borderId="11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</xf>
    <xf numFmtId="168" fontId="9" fillId="0" borderId="27" xfId="0" applyNumberFormat="1" applyFont="1" applyFill="1" applyBorder="1" applyAlignment="1" applyProtection="1">
      <alignment horizontal="center" vertical="center"/>
    </xf>
    <xf numFmtId="4" fontId="9" fillId="0" borderId="126" xfId="0" applyNumberFormat="1" applyFont="1" applyFill="1" applyBorder="1" applyAlignment="1" applyProtection="1">
      <alignment horizontal="center" vertical="center"/>
    </xf>
    <xf numFmtId="168" fontId="9" fillId="0" borderId="126" xfId="0" applyNumberFormat="1" applyFont="1" applyFill="1" applyBorder="1" applyAlignment="1" applyProtection="1">
      <alignment horizontal="center" vertical="center"/>
    </xf>
    <xf numFmtId="1" fontId="9" fillId="0" borderId="126" xfId="0" applyNumberFormat="1" applyFont="1" applyFill="1" applyBorder="1" applyAlignment="1" applyProtection="1">
      <alignment horizontal="center" vertical="center"/>
    </xf>
    <xf numFmtId="2" fontId="9" fillId="0" borderId="126" xfId="0" applyNumberFormat="1" applyFont="1" applyFill="1" applyBorder="1" applyAlignment="1" applyProtection="1">
      <alignment horizontal="center" vertical="center"/>
    </xf>
    <xf numFmtId="168" fontId="9" fillId="0" borderId="129" xfId="0" applyNumberFormat="1" applyFont="1" applyFill="1" applyBorder="1" applyAlignment="1" applyProtection="1">
      <alignment horizontal="center" vertical="center"/>
    </xf>
    <xf numFmtId="4" fontId="9" fillId="0" borderId="27" xfId="0" applyNumberFormat="1" applyFont="1" applyFill="1" applyBorder="1" applyAlignment="1" applyProtection="1">
      <alignment horizontal="center" vertical="center"/>
    </xf>
    <xf numFmtId="4" fontId="9" fillId="0" borderId="123" xfId="0" applyNumberFormat="1" applyFont="1" applyFill="1" applyBorder="1" applyAlignment="1" applyProtection="1">
      <alignment horizontal="center" vertical="center"/>
    </xf>
    <xf numFmtId="4" fontId="9" fillId="0" borderId="129" xfId="0" applyNumberFormat="1" applyFont="1" applyFill="1" applyBorder="1" applyAlignment="1" applyProtection="1">
      <alignment horizontal="center" vertical="center"/>
    </xf>
    <xf numFmtId="168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41" fillId="5" borderId="0" xfId="0" applyFont="1" applyFill="1" applyBorder="1" applyProtection="1"/>
    <xf numFmtId="0" fontId="85" fillId="0" borderId="90" xfId="0" applyFont="1" applyFill="1" applyBorder="1" applyAlignment="1" applyProtection="1">
      <alignment horizontal="right" vertical="center" shrinkToFit="1"/>
    </xf>
    <xf numFmtId="0" fontId="20" fillId="5" borderId="0" xfId="0" applyFont="1" applyFill="1" applyBorder="1" applyAlignment="1" applyProtection="1">
      <alignment vertical="center"/>
    </xf>
    <xf numFmtId="0" fontId="41" fillId="5" borderId="2" xfId="0" applyFont="1" applyFill="1" applyBorder="1" applyProtection="1"/>
    <xf numFmtId="0" fontId="41" fillId="5" borderId="3" xfId="0" applyFont="1" applyFill="1" applyBorder="1" applyProtection="1"/>
    <xf numFmtId="0" fontId="85" fillId="12" borderId="90" xfId="0" applyFont="1" applyFill="1" applyBorder="1" applyAlignment="1" applyProtection="1">
      <alignment horizontal="right" vertical="center" shrinkToFit="1"/>
    </xf>
    <xf numFmtId="0" fontId="85" fillId="12" borderId="91" xfId="0" applyFont="1" applyFill="1" applyBorder="1" applyAlignment="1" applyProtection="1">
      <alignment horizontal="right" vertical="center" shrinkToFit="1"/>
    </xf>
    <xf numFmtId="171" fontId="40" fillId="12" borderId="0" xfId="0" applyNumberFormat="1" applyFont="1" applyFill="1" applyAlignment="1" applyProtection="1">
      <alignment vertical="center"/>
    </xf>
    <xf numFmtId="0" fontId="49" fillId="12" borderId="0" xfId="0" applyFont="1" applyFill="1" applyAlignment="1" applyProtection="1">
      <alignment vertical="center"/>
    </xf>
    <xf numFmtId="0" fontId="40" fillId="12" borderId="0" xfId="0" applyFont="1" applyFill="1" applyAlignment="1" applyProtection="1">
      <alignment vertical="center"/>
    </xf>
    <xf numFmtId="0" fontId="40" fillId="12" borderId="0" xfId="0" applyFont="1" applyFill="1" applyBorder="1" applyAlignment="1" applyProtection="1">
      <alignment vertical="center"/>
    </xf>
    <xf numFmtId="0" fontId="49" fillId="12" borderId="0" xfId="0" applyFont="1" applyFill="1" applyBorder="1" applyAlignment="1" applyProtection="1">
      <alignment vertical="center"/>
    </xf>
    <xf numFmtId="0" fontId="48" fillId="0" borderId="35" xfId="0" applyFont="1" applyFill="1" applyBorder="1" applyAlignment="1" applyProtection="1">
      <alignment horizontal="left" vertical="center"/>
    </xf>
    <xf numFmtId="0" fontId="24" fillId="12" borderId="0" xfId="0" applyFont="1" applyFill="1" applyBorder="1" applyAlignment="1" applyProtection="1">
      <alignment horizontal="center" vertical="center"/>
    </xf>
    <xf numFmtId="0" fontId="24" fillId="12" borderId="7" xfId="0" applyFont="1" applyFill="1" applyBorder="1" applyAlignment="1" applyProtection="1">
      <alignment horizontal="center" vertical="center"/>
    </xf>
    <xf numFmtId="0" fontId="85" fillId="0" borderId="0" xfId="0" applyFont="1" applyFill="1" applyBorder="1" applyAlignment="1" applyProtection="1">
      <alignment horizontal="center" vertical="center" shrinkToFit="1"/>
    </xf>
    <xf numFmtId="0" fontId="85" fillId="12" borderId="0" xfId="0" applyFont="1" applyFill="1" applyBorder="1" applyAlignment="1" applyProtection="1">
      <alignment horizontal="center" vertical="center" shrinkToFit="1"/>
    </xf>
    <xf numFmtId="0" fontId="85" fillId="12" borderId="7" xfId="0" applyFont="1" applyFill="1" applyBorder="1" applyAlignment="1" applyProtection="1">
      <alignment horizontal="center" vertical="center" shrinkToFit="1"/>
    </xf>
    <xf numFmtId="170" fontId="28" fillId="8" borderId="8" xfId="0" applyNumberFormat="1" applyFont="1" applyFill="1" applyBorder="1" applyAlignment="1" applyProtection="1">
      <alignment horizontal="center" vertical="center"/>
      <protection locked="0"/>
    </xf>
    <xf numFmtId="170" fontId="28" fillId="8" borderId="130" xfId="0" applyNumberFormat="1" applyFont="1" applyFill="1" applyBorder="1" applyAlignment="1" applyProtection="1">
      <alignment horizontal="center" vertical="center"/>
      <protection locked="0"/>
    </xf>
    <xf numFmtId="175" fontId="25" fillId="0" borderId="0" xfId="0" applyNumberFormat="1" applyFont="1" applyFill="1" applyBorder="1" applyAlignment="1" applyProtection="1">
      <alignment horizontal="center" vertical="center"/>
    </xf>
    <xf numFmtId="175" fontId="25" fillId="12" borderId="0" xfId="0" applyNumberFormat="1" applyFont="1" applyFill="1" applyBorder="1" applyAlignment="1" applyProtection="1">
      <alignment horizontal="center" vertical="center"/>
    </xf>
    <xf numFmtId="175" fontId="25" fillId="12" borderId="7" xfId="0" applyNumberFormat="1" applyFont="1" applyFill="1" applyBorder="1" applyAlignment="1" applyProtection="1">
      <alignment horizontal="center" vertical="center"/>
    </xf>
    <xf numFmtId="175" fontId="25" fillId="5" borderId="0" xfId="0" applyNumberFormat="1" applyFont="1" applyFill="1" applyBorder="1" applyAlignment="1" applyProtection="1">
      <alignment horizontal="center" vertical="center"/>
    </xf>
    <xf numFmtId="175" fontId="25" fillId="12" borderId="5" xfId="0" applyNumberFormat="1" applyFont="1" applyFill="1" applyBorder="1" applyAlignment="1" applyProtection="1">
      <alignment horizontal="center" vertical="center"/>
    </xf>
    <xf numFmtId="175" fontId="115" fillId="0" borderId="0" xfId="0" applyNumberFormat="1" applyFont="1" applyFill="1" applyBorder="1" applyAlignment="1" applyProtection="1">
      <alignment horizontal="center" vertical="center"/>
    </xf>
    <xf numFmtId="175" fontId="115" fillId="12" borderId="0" xfId="0" applyNumberFormat="1" applyFont="1" applyFill="1" applyBorder="1" applyAlignment="1" applyProtection="1">
      <alignment horizontal="center" vertical="center"/>
    </xf>
    <xf numFmtId="175" fontId="115" fillId="12" borderId="5" xfId="0" applyNumberFormat="1" applyFont="1" applyFill="1" applyBorder="1" applyAlignment="1" applyProtection="1">
      <alignment horizontal="center" vertical="center"/>
    </xf>
    <xf numFmtId="175" fontId="115" fillId="12" borderId="7" xfId="0" applyNumberFormat="1" applyFont="1" applyFill="1" applyBorder="1" applyAlignment="1" applyProtection="1">
      <alignment horizontal="center" vertical="center"/>
    </xf>
    <xf numFmtId="175" fontId="115" fillId="12" borderId="6" xfId="0" applyNumberFormat="1" applyFont="1" applyFill="1" applyBorder="1" applyAlignment="1" applyProtection="1">
      <alignment horizontal="center" vertical="center"/>
    </xf>
    <xf numFmtId="172" fontId="115" fillId="12" borderId="6" xfId="0" applyNumberFormat="1" applyFont="1" applyFill="1" applyBorder="1" applyAlignment="1" applyProtection="1">
      <alignment horizontal="center" vertical="center"/>
    </xf>
    <xf numFmtId="172" fontId="115" fillId="12" borderId="0" xfId="0" applyNumberFormat="1" applyFont="1" applyFill="1" applyBorder="1" applyAlignment="1" applyProtection="1">
      <alignment horizontal="center" vertical="center"/>
    </xf>
    <xf numFmtId="172" fontId="11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</xf>
    <xf numFmtId="2" fontId="116" fillId="0" borderId="5" xfId="0" applyNumberFormat="1" applyFont="1" applyFill="1" applyBorder="1" applyAlignment="1" applyProtection="1">
      <alignment horizontal="center" vertical="center"/>
    </xf>
    <xf numFmtId="2" fontId="117" fillId="0" borderId="5" xfId="0" applyNumberFormat="1" applyFont="1" applyFill="1" applyBorder="1" applyAlignment="1" applyProtection="1">
      <alignment horizontal="center" vertical="center"/>
    </xf>
    <xf numFmtId="4" fontId="118" fillId="8" borderId="49" xfId="0" applyNumberFormat="1" applyFont="1" applyFill="1" applyBorder="1" applyAlignment="1" applyProtection="1">
      <alignment horizontal="center" vertical="center"/>
      <protection locked="0"/>
    </xf>
    <xf numFmtId="4" fontId="118" fillId="8" borderId="68" xfId="0" applyNumberFormat="1" applyFont="1" applyFill="1" applyBorder="1" applyAlignment="1" applyProtection="1">
      <alignment horizontal="center" vertical="center"/>
      <protection locked="0"/>
    </xf>
    <xf numFmtId="4" fontId="118" fillId="8" borderId="69" xfId="0" applyNumberFormat="1" applyFont="1" applyFill="1" applyBorder="1" applyAlignment="1" applyProtection="1">
      <alignment horizontal="center" vertical="center"/>
      <protection locked="0"/>
    </xf>
    <xf numFmtId="164" fontId="119" fillId="0" borderId="14" xfId="0" applyNumberFormat="1" applyFont="1" applyFill="1" applyBorder="1" applyAlignment="1" applyProtection="1">
      <alignment horizontal="center" vertical="center" shrinkToFit="1"/>
    </xf>
    <xf numFmtId="164" fontId="119" fillId="0" borderId="20" xfId="0" applyNumberFormat="1" applyFont="1" applyFill="1" applyBorder="1" applyAlignment="1" applyProtection="1">
      <alignment horizontal="center" vertical="center" shrinkToFit="1"/>
    </xf>
    <xf numFmtId="164" fontId="119" fillId="0" borderId="29" xfId="0" applyNumberFormat="1" applyFont="1" applyFill="1" applyBorder="1" applyAlignment="1" applyProtection="1">
      <alignment horizontal="center" vertical="center" shrinkToFit="1"/>
    </xf>
    <xf numFmtId="164" fontId="120" fillId="0" borderId="14" xfId="0" applyNumberFormat="1" applyFont="1" applyFill="1" applyBorder="1" applyAlignment="1" applyProtection="1">
      <alignment horizontal="center" vertical="center" shrinkToFit="1"/>
    </xf>
    <xf numFmtId="164" fontId="120" fillId="0" borderId="29" xfId="0" applyNumberFormat="1" applyFont="1" applyFill="1" applyBorder="1" applyAlignment="1" applyProtection="1">
      <alignment horizontal="center" vertical="center" shrinkToFit="1"/>
    </xf>
    <xf numFmtId="173" fontId="119" fillId="0" borderId="14" xfId="0" applyNumberFormat="1" applyFont="1" applyFill="1" applyBorder="1" applyAlignment="1" applyProtection="1">
      <alignment horizontal="center" vertical="center" shrinkToFit="1"/>
    </xf>
    <xf numFmtId="173" fontId="119" fillId="0" borderId="20" xfId="0" applyNumberFormat="1" applyFont="1" applyFill="1" applyBorder="1" applyAlignment="1" applyProtection="1">
      <alignment horizontal="center" vertical="center" shrinkToFit="1"/>
    </xf>
    <xf numFmtId="164" fontId="119" fillId="0" borderId="13" xfId="0" applyNumberFormat="1" applyFont="1" applyFill="1" applyBorder="1" applyAlignment="1" applyProtection="1">
      <alignment horizontal="center" vertical="center" shrinkToFit="1"/>
    </xf>
    <xf numFmtId="164" fontId="119" fillId="0" borderId="29" xfId="0" applyNumberFormat="1" applyFont="1" applyFill="1" applyBorder="1" applyAlignment="1" applyProtection="1">
      <alignment vertical="center" shrinkToFit="1"/>
    </xf>
    <xf numFmtId="173" fontId="120" fillId="0" borderId="14" xfId="0" applyNumberFormat="1" applyFont="1" applyFill="1" applyBorder="1" applyAlignment="1" applyProtection="1">
      <alignment horizontal="center" vertical="center" shrinkToFit="1"/>
    </xf>
    <xf numFmtId="173" fontId="120" fillId="0" borderId="20" xfId="0" applyNumberFormat="1" applyFont="1" applyFill="1" applyBorder="1" applyAlignment="1" applyProtection="1">
      <alignment horizontal="center" vertical="center" shrinkToFit="1"/>
    </xf>
    <xf numFmtId="164" fontId="120" fillId="0" borderId="16" xfId="0" applyNumberFormat="1" applyFont="1" applyFill="1" applyBorder="1" applyAlignment="1" applyProtection="1">
      <alignment horizontal="center" vertical="center" shrinkToFit="1"/>
    </xf>
    <xf numFmtId="164" fontId="120" fillId="0" borderId="17" xfId="0" applyNumberFormat="1" applyFont="1" applyFill="1" applyBorder="1" applyAlignment="1" applyProtection="1">
      <alignment horizontal="center" vertical="center" shrinkToFit="1"/>
    </xf>
    <xf numFmtId="164" fontId="120" fillId="0" borderId="42" xfId="0" applyNumberFormat="1" applyFont="1" applyFill="1" applyBorder="1" applyAlignment="1" applyProtection="1">
      <alignment horizontal="center" vertical="center" shrinkToFit="1"/>
    </xf>
    <xf numFmtId="164" fontId="120" fillId="0" borderId="0" xfId="0" applyNumberFormat="1" applyFont="1" applyFill="1" applyBorder="1" applyAlignment="1" applyProtection="1">
      <alignment horizontal="center" vertical="center" shrinkToFit="1"/>
    </xf>
    <xf numFmtId="173" fontId="120" fillId="0" borderId="0" xfId="0" applyNumberFormat="1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/>
    </xf>
    <xf numFmtId="4" fontId="9" fillId="0" borderId="14" xfId="0" applyNumberFormat="1" applyFont="1" applyFill="1" applyBorder="1" applyAlignment="1" applyProtection="1">
      <alignment horizontal="center" vertical="center"/>
    </xf>
    <xf numFmtId="168" fontId="9" fillId="0" borderId="14" xfId="0" applyNumberFormat="1" applyFont="1" applyFill="1" applyBorder="1" applyAlignment="1" applyProtection="1">
      <alignment horizontal="center" vertical="center"/>
    </xf>
    <xf numFmtId="1" fontId="81" fillId="0" borderId="14" xfId="0" applyNumberFormat="1" applyFont="1" applyFill="1" applyBorder="1" applyAlignment="1" applyProtection="1">
      <alignment horizontal="center" vertical="center"/>
    </xf>
    <xf numFmtId="2" fontId="9" fillId="0" borderId="14" xfId="0" applyNumberFormat="1" applyFont="1" applyFill="1" applyBorder="1" applyAlignment="1" applyProtection="1">
      <alignment horizontal="center" vertical="center"/>
    </xf>
    <xf numFmtId="168" fontId="9" fillId="0" borderId="29" xfId="0" applyNumberFormat="1" applyFont="1" applyFill="1" applyBorder="1" applyAlignment="1" applyProtection="1">
      <alignment horizontal="center" vertical="center"/>
    </xf>
    <xf numFmtId="0" fontId="46" fillId="12" borderId="0" xfId="0" applyNumberFormat="1" applyFont="1" applyFill="1" applyBorder="1" applyAlignment="1" applyProtection="1">
      <alignment horizontal="center" vertical="center" wrapText="1" shrinkToFit="1"/>
    </xf>
    <xf numFmtId="0" fontId="46" fillId="0" borderId="0" xfId="0" applyNumberFormat="1" applyFont="1" applyFill="1" applyBorder="1" applyAlignment="1" applyProtection="1">
      <alignment horizontal="center" vertical="center" wrapText="1" shrinkToFit="1"/>
    </xf>
    <xf numFmtId="0" fontId="20" fillId="11" borderId="0" xfId="0" applyFont="1" applyFill="1" applyBorder="1" applyAlignment="1" applyProtection="1">
      <alignment vertical="center"/>
    </xf>
    <xf numFmtId="0" fontId="85" fillId="12" borderId="90" xfId="0" applyFont="1" applyFill="1" applyBorder="1" applyAlignment="1" applyProtection="1">
      <alignment horizontal="right" vertical="center"/>
    </xf>
    <xf numFmtId="0" fontId="85" fillId="12" borderId="91" xfId="0" applyFont="1" applyFill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vertical="center"/>
    </xf>
    <xf numFmtId="165" fontId="14" fillId="0" borderId="134" xfId="1" applyNumberFormat="1" applyFont="1" applyFill="1" applyBorder="1" applyAlignment="1" applyProtection="1">
      <alignment horizontal="center" vertical="center" shrinkToFit="1"/>
    </xf>
    <xf numFmtId="164" fontId="61" fillId="0" borderId="0" xfId="0" applyNumberFormat="1" applyFont="1" applyBorder="1" applyAlignment="1" applyProtection="1">
      <alignment horizontal="right" vertical="center"/>
    </xf>
    <xf numFmtId="164" fontId="60" fillId="0" borderId="0" xfId="0" applyNumberFormat="1" applyFont="1" applyBorder="1" applyAlignment="1" applyProtection="1">
      <alignment horizontal="left" vertical="center"/>
    </xf>
    <xf numFmtId="0" fontId="52" fillId="0" borderId="58" xfId="0" applyFont="1" applyFill="1" applyBorder="1" applyAlignment="1" applyProtection="1">
      <alignment horizontal="center" vertical="center"/>
    </xf>
    <xf numFmtId="166" fontId="30" fillId="0" borderId="14" xfId="1" applyNumberFormat="1" applyFont="1" applyFill="1" applyBorder="1" applyAlignment="1" applyProtection="1">
      <alignment horizontal="center" vertical="center" shrinkToFit="1"/>
    </xf>
    <xf numFmtId="166" fontId="14" fillId="0" borderId="19" xfId="1" applyNumberFormat="1" applyFont="1" applyFill="1" applyBorder="1" applyAlignment="1" applyProtection="1">
      <alignment horizontal="center" vertical="center" shrinkToFit="1"/>
    </xf>
    <xf numFmtId="166" fontId="30" fillId="0" borderId="11" xfId="1" applyNumberFormat="1" applyFont="1" applyFill="1" applyBorder="1" applyAlignment="1" applyProtection="1">
      <alignment horizontal="center" vertical="center" shrinkToFit="1"/>
    </xf>
    <xf numFmtId="166" fontId="14" fillId="0" borderId="11" xfId="1" applyNumberFormat="1" applyFont="1" applyFill="1" applyBorder="1" applyAlignment="1" applyProtection="1">
      <alignment horizontal="center" vertical="center" shrinkToFit="1"/>
    </xf>
    <xf numFmtId="0" fontId="28" fillId="0" borderId="92" xfId="0" applyNumberFormat="1" applyFont="1" applyFill="1" applyBorder="1" applyAlignment="1" applyProtection="1">
      <alignment horizontal="center" vertical="center" wrapText="1" shrinkToFit="1"/>
    </xf>
    <xf numFmtId="0" fontId="28" fillId="0" borderId="93" xfId="0" applyNumberFormat="1" applyFont="1" applyFill="1" applyBorder="1" applyAlignment="1" applyProtection="1">
      <alignment horizontal="center" vertical="center" wrapText="1" shrinkToFit="1"/>
    </xf>
    <xf numFmtId="0" fontId="49" fillId="0" borderId="0" xfId="0" applyFont="1" applyAlignment="1" applyProtection="1">
      <alignment horizontal="center" vertical="center"/>
    </xf>
    <xf numFmtId="0" fontId="49" fillId="0" borderId="7" xfId="0" applyFont="1" applyBorder="1" applyAlignment="1" applyProtection="1">
      <alignment horizontal="center" vertical="center"/>
    </xf>
    <xf numFmtId="0" fontId="49" fillId="0" borderId="34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</xf>
    <xf numFmtId="0" fontId="48" fillId="0" borderId="34" xfId="0" applyFont="1" applyBorder="1" applyAlignment="1" applyProtection="1">
      <alignment horizontal="center" vertical="center"/>
    </xf>
    <xf numFmtId="0" fontId="48" fillId="0" borderId="35" xfId="0" applyFont="1" applyBorder="1" applyAlignment="1" applyProtection="1">
      <alignment horizontal="center" vertical="center"/>
    </xf>
    <xf numFmtId="167" fontId="17" fillId="3" borderId="20" xfId="0" applyNumberFormat="1" applyFont="1" applyFill="1" applyBorder="1" applyAlignment="1" applyProtection="1">
      <alignment horizontal="center" vertical="center" shrinkToFit="1"/>
      <protection locked="0"/>
    </xf>
    <xf numFmtId="167" fontId="17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39" fillId="12" borderId="85" xfId="0" applyFont="1" applyFill="1" applyBorder="1" applyAlignment="1" applyProtection="1">
      <alignment horizontal="center" vertical="center" wrapText="1"/>
    </xf>
    <xf numFmtId="0" fontId="39" fillId="12" borderId="19" xfId="0" applyFont="1" applyFill="1" applyBorder="1" applyAlignment="1" applyProtection="1">
      <alignment horizontal="center" vertical="center" wrapText="1"/>
    </xf>
    <xf numFmtId="0" fontId="39" fillId="12" borderId="88" xfId="0" applyFont="1" applyFill="1" applyBorder="1" applyAlignment="1" applyProtection="1">
      <alignment horizontal="center" vertical="center" wrapText="1"/>
    </xf>
    <xf numFmtId="0" fontId="39" fillId="12" borderId="67" xfId="0" applyFont="1" applyFill="1" applyBorder="1" applyAlignment="1" applyProtection="1">
      <alignment horizontal="center" vertical="center" wrapText="1"/>
    </xf>
    <xf numFmtId="0" fontId="1" fillId="0" borderId="132" xfId="0" applyFont="1" applyFill="1" applyBorder="1" applyAlignment="1" applyProtection="1">
      <alignment horizontal="center" vertical="center" wrapText="1"/>
    </xf>
    <xf numFmtId="0" fontId="1" fillId="0" borderId="133" xfId="0" applyFont="1" applyFill="1" applyBorder="1" applyAlignment="1" applyProtection="1">
      <alignment horizontal="center" vertical="center" wrapText="1"/>
    </xf>
    <xf numFmtId="0" fontId="113" fillId="5" borderId="7" xfId="0" applyFont="1" applyFill="1" applyBorder="1" applyAlignment="1" applyProtection="1">
      <alignment horizontal="right" vertical="center"/>
    </xf>
    <xf numFmtId="0" fontId="113" fillId="12" borderId="7" xfId="0" applyFont="1" applyFill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87" xfId="0" applyFont="1" applyFill="1" applyBorder="1" applyAlignment="1" applyProtection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</xf>
    <xf numFmtId="0" fontId="10" fillId="0" borderId="85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/>
    </xf>
    <xf numFmtId="0" fontId="26" fillId="6" borderId="22" xfId="0" applyFont="1" applyFill="1" applyBorder="1" applyAlignment="1" applyProtection="1">
      <alignment horizontal="center" vertical="center"/>
    </xf>
    <xf numFmtId="0" fontId="26" fillId="6" borderId="51" xfId="0" applyFont="1" applyFill="1" applyBorder="1" applyAlignment="1" applyProtection="1">
      <alignment horizontal="center" vertical="center"/>
    </xf>
    <xf numFmtId="0" fontId="70" fillId="3" borderId="28" xfId="0" applyFont="1" applyFill="1" applyBorder="1" applyAlignment="1" applyProtection="1">
      <alignment horizontal="right" vertical="center" shrinkToFit="1"/>
      <protection locked="0"/>
    </xf>
    <xf numFmtId="0" fontId="70" fillId="3" borderId="14" xfId="0" applyFont="1" applyFill="1" applyBorder="1" applyAlignment="1" applyProtection="1">
      <alignment horizontal="right" vertical="center" shrinkToFit="1"/>
      <protection locked="0"/>
    </xf>
    <xf numFmtId="0" fontId="70" fillId="3" borderId="76" xfId="0" applyFont="1" applyFill="1" applyBorder="1" applyAlignment="1" applyProtection="1">
      <alignment horizontal="right" vertical="center" shrinkToFit="1"/>
      <protection locked="0"/>
    </xf>
    <xf numFmtId="0" fontId="70" fillId="3" borderId="74" xfId="0" applyFont="1" applyFill="1" applyBorder="1" applyAlignment="1" applyProtection="1">
      <alignment horizontal="right" vertical="center" shrinkToFit="1"/>
      <protection locked="0"/>
    </xf>
    <xf numFmtId="0" fontId="70" fillId="3" borderId="66" xfId="0" applyFont="1" applyFill="1" applyBorder="1" applyAlignment="1" applyProtection="1">
      <alignment horizontal="right" vertical="center" shrinkToFit="1"/>
      <protection locked="0"/>
    </xf>
    <xf numFmtId="0" fontId="70" fillId="3" borderId="19" xfId="0" applyFont="1" applyFill="1" applyBorder="1" applyAlignment="1" applyProtection="1">
      <alignment horizontal="right" vertical="center" shrinkToFit="1"/>
      <protection locked="0"/>
    </xf>
    <xf numFmtId="0" fontId="32" fillId="0" borderId="46" xfId="0" applyFont="1" applyFill="1" applyBorder="1" applyAlignment="1" applyProtection="1">
      <alignment horizontal="right" vertical="center"/>
    </xf>
    <xf numFmtId="0" fontId="32" fillId="0" borderId="47" xfId="0" applyFont="1" applyFill="1" applyBorder="1" applyAlignment="1" applyProtection="1">
      <alignment horizontal="right" vertical="center"/>
    </xf>
    <xf numFmtId="0" fontId="32" fillId="0" borderId="48" xfId="0" applyFont="1" applyFill="1" applyBorder="1" applyAlignment="1" applyProtection="1">
      <alignment horizontal="right" vertical="center"/>
    </xf>
    <xf numFmtId="0" fontId="18" fillId="0" borderId="34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65" fillId="0" borderId="39" xfId="0" applyFont="1" applyFill="1" applyBorder="1" applyAlignment="1" applyProtection="1">
      <alignment horizontal="center" vertical="center"/>
    </xf>
    <xf numFmtId="0" fontId="65" fillId="0" borderId="5" xfId="0" applyFont="1" applyFill="1" applyBorder="1" applyAlignment="1" applyProtection="1">
      <alignment horizontal="center" vertical="center"/>
    </xf>
    <xf numFmtId="0" fontId="70" fillId="0" borderId="45" xfId="0" applyFont="1" applyFill="1" applyBorder="1" applyAlignment="1" applyProtection="1">
      <alignment horizontal="center" vertical="center"/>
    </xf>
    <xf numFmtId="0" fontId="70" fillId="0" borderId="25" xfId="0" applyFont="1" applyFill="1" applyBorder="1" applyAlignment="1" applyProtection="1">
      <alignment horizontal="center" vertical="center"/>
    </xf>
    <xf numFmtId="0" fontId="70" fillId="0" borderId="26" xfId="0" applyFont="1" applyFill="1" applyBorder="1" applyAlignment="1" applyProtection="1">
      <alignment horizontal="center" vertical="center"/>
    </xf>
    <xf numFmtId="0" fontId="70" fillId="3" borderId="105" xfId="0" applyFont="1" applyFill="1" applyBorder="1" applyAlignment="1" applyProtection="1">
      <alignment horizontal="right" vertical="center" shrinkToFit="1"/>
      <protection locked="0"/>
    </xf>
    <xf numFmtId="0" fontId="70" fillId="3" borderId="22" xfId="0" applyFont="1" applyFill="1" applyBorder="1" applyAlignment="1" applyProtection="1">
      <alignment horizontal="right" vertical="center" shrinkToFit="1"/>
      <protection locked="0"/>
    </xf>
    <xf numFmtId="0" fontId="70" fillId="3" borderId="104" xfId="0" applyFont="1" applyFill="1" applyBorder="1" applyAlignment="1" applyProtection="1">
      <alignment horizontal="right" vertical="center" shrinkToFit="1"/>
      <protection locked="0"/>
    </xf>
    <xf numFmtId="0" fontId="99" fillId="0" borderId="39" xfId="0" applyFont="1" applyFill="1" applyBorder="1" applyAlignment="1" applyProtection="1">
      <alignment horizontal="center" vertical="center"/>
    </xf>
    <xf numFmtId="0" fontId="99" fillId="0" borderId="5" xfId="0" applyFont="1" applyFill="1" applyBorder="1" applyAlignment="1" applyProtection="1">
      <alignment horizontal="center" vertical="center"/>
    </xf>
    <xf numFmtId="0" fontId="65" fillId="0" borderId="24" xfId="0" applyFont="1" applyFill="1" applyBorder="1" applyAlignment="1" applyProtection="1">
      <alignment horizontal="center"/>
    </xf>
    <xf numFmtId="0" fontId="65" fillId="0" borderId="25" xfId="0" applyFont="1" applyFill="1" applyBorder="1" applyAlignment="1" applyProtection="1">
      <alignment horizontal="center"/>
    </xf>
    <xf numFmtId="0" fontId="70" fillId="3" borderId="102" xfId="0" applyFont="1" applyFill="1" applyBorder="1" applyAlignment="1" applyProtection="1">
      <alignment horizontal="right" vertical="center" shrinkToFit="1"/>
      <protection locked="0"/>
    </xf>
    <xf numFmtId="0" fontId="70" fillId="3" borderId="99" xfId="0" applyFont="1" applyFill="1" applyBorder="1" applyAlignment="1" applyProtection="1">
      <alignment horizontal="right" vertical="center" shrinkToFit="1"/>
      <protection locked="0"/>
    </xf>
    <xf numFmtId="0" fontId="64" fillId="0" borderId="24" xfId="0" applyFont="1" applyFill="1" applyBorder="1" applyAlignment="1" applyProtection="1">
      <alignment horizontal="center" vertical="center"/>
    </xf>
    <xf numFmtId="0" fontId="64" fillId="0" borderId="25" xfId="0" applyFont="1" applyFill="1" applyBorder="1" applyAlignment="1" applyProtection="1">
      <alignment horizontal="center" vertical="center"/>
    </xf>
    <xf numFmtId="0" fontId="64" fillId="0" borderId="39" xfId="0" applyFont="1" applyFill="1" applyBorder="1" applyAlignment="1" applyProtection="1">
      <alignment horizontal="center" vertical="center"/>
    </xf>
    <xf numFmtId="0" fontId="64" fillId="0" borderId="5" xfId="0" applyFont="1" applyFill="1" applyBorder="1" applyAlignment="1" applyProtection="1">
      <alignment horizontal="center" vertical="center"/>
    </xf>
    <xf numFmtId="0" fontId="46" fillId="8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8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39" fillId="0" borderId="0" xfId="0" applyFont="1" applyBorder="1" applyAlignment="1" applyProtection="1">
      <alignment horizontal="right" vertical="center"/>
    </xf>
    <xf numFmtId="167" fontId="13" fillId="8" borderId="1" xfId="0" applyNumberFormat="1" applyFont="1" applyFill="1" applyBorder="1" applyAlignment="1" applyProtection="1">
      <alignment horizontal="center" vertical="center" shrinkToFit="1"/>
      <protection locked="0"/>
    </xf>
    <xf numFmtId="167" fontId="13" fillId="8" borderId="2" xfId="0" applyNumberFormat="1" applyFont="1" applyFill="1" applyBorder="1" applyAlignment="1" applyProtection="1">
      <alignment horizontal="center" vertical="center" shrinkToFit="1"/>
      <protection locked="0"/>
    </xf>
    <xf numFmtId="167" fontId="13" fillId="8" borderId="3" xfId="0" applyNumberFormat="1" applyFont="1" applyFill="1" applyBorder="1" applyAlignment="1" applyProtection="1">
      <alignment horizontal="center" vertical="center" shrinkToFit="1"/>
      <protection locked="0"/>
    </xf>
    <xf numFmtId="167" fontId="13" fillId="8" borderId="4" xfId="0" applyNumberFormat="1" applyFont="1" applyFill="1" applyBorder="1" applyAlignment="1" applyProtection="1">
      <alignment horizontal="center" vertical="center" shrinkToFit="1"/>
      <protection locked="0"/>
    </xf>
    <xf numFmtId="167" fontId="13" fillId="8" borderId="5" xfId="0" applyNumberFormat="1" applyFont="1" applyFill="1" applyBorder="1" applyAlignment="1" applyProtection="1">
      <alignment horizontal="center" vertical="center" shrinkToFit="1"/>
      <protection locked="0"/>
    </xf>
    <xf numFmtId="167" fontId="13" fillId="8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5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right" vertical="center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34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59" fillId="0" borderId="24" xfId="0" applyFont="1" applyFill="1" applyBorder="1" applyAlignment="1" applyProtection="1">
      <alignment horizontal="center" vertical="center"/>
    </xf>
    <xf numFmtId="0" fontId="59" fillId="0" borderId="25" xfId="0" applyFont="1" applyFill="1" applyBorder="1" applyAlignment="1" applyProtection="1">
      <alignment horizontal="center" vertical="center"/>
    </xf>
    <xf numFmtId="0" fontId="59" fillId="0" borderId="26" xfId="0" applyFont="1" applyFill="1" applyBorder="1" applyAlignment="1" applyProtection="1">
      <alignment horizontal="center" vertical="center"/>
    </xf>
    <xf numFmtId="0" fontId="112" fillId="0" borderId="35" xfId="0" applyFont="1" applyFill="1" applyBorder="1" applyAlignment="1" applyProtection="1">
      <alignment horizontal="center" vertical="center" wrapText="1" shrinkToFit="1"/>
    </xf>
    <xf numFmtId="0" fontId="18" fillId="0" borderId="36" xfId="0" applyFont="1" applyFill="1" applyBorder="1" applyAlignment="1" applyProtection="1">
      <alignment horizontal="right" vertical="center"/>
    </xf>
    <xf numFmtId="0" fontId="18" fillId="0" borderId="37" xfId="0" applyFont="1" applyFill="1" applyBorder="1" applyAlignment="1" applyProtection="1">
      <alignment horizontal="right" vertical="center"/>
    </xf>
    <xf numFmtId="0" fontId="65" fillId="0" borderId="24" xfId="0" applyFont="1" applyFill="1" applyBorder="1" applyAlignment="1" applyProtection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9" xfId="0" applyFont="1" applyFill="1" applyBorder="1" applyAlignment="1" applyProtection="1">
      <alignment horizontal="center" vertical="center" wrapText="1"/>
    </xf>
    <xf numFmtId="0" fontId="65" fillId="0" borderId="5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center" vertical="top" wrapText="1" shrinkToFit="1"/>
    </xf>
    <xf numFmtId="0" fontId="41" fillId="0" borderId="2" xfId="0" applyFont="1" applyFill="1" applyBorder="1" applyAlignment="1" applyProtection="1">
      <alignment horizontal="center" vertical="top" wrapText="1" shrinkToFit="1"/>
    </xf>
    <xf numFmtId="0" fontId="41" fillId="0" borderId="3" xfId="0" applyFont="1" applyFill="1" applyBorder="1" applyAlignment="1" applyProtection="1">
      <alignment horizontal="center" vertical="top" wrapText="1" shrinkToFit="1"/>
    </xf>
    <xf numFmtId="0" fontId="41" fillId="0" borderId="9" xfId="0" applyFont="1" applyFill="1" applyBorder="1" applyAlignment="1" applyProtection="1">
      <alignment horizontal="center" vertical="top" wrapText="1" shrinkToFit="1"/>
    </xf>
    <xf numFmtId="0" fontId="41" fillId="0" borderId="0" xfId="0" applyFont="1" applyFill="1" applyBorder="1" applyAlignment="1" applyProtection="1">
      <alignment horizontal="center" vertical="top" wrapText="1" shrinkToFit="1"/>
    </xf>
    <xf numFmtId="0" fontId="41" fillId="0" borderId="7" xfId="0" applyFont="1" applyFill="1" applyBorder="1" applyAlignment="1" applyProtection="1">
      <alignment horizontal="center" vertical="top" wrapText="1" shrinkToFit="1"/>
    </xf>
    <xf numFmtId="0" fontId="41" fillId="0" borderId="4" xfId="0" applyFont="1" applyFill="1" applyBorder="1" applyAlignment="1" applyProtection="1">
      <alignment horizontal="center" vertical="top" wrapText="1" shrinkToFit="1"/>
    </xf>
    <xf numFmtId="0" fontId="41" fillId="0" borderId="5" xfId="0" applyFont="1" applyFill="1" applyBorder="1" applyAlignment="1" applyProtection="1">
      <alignment horizontal="center" vertical="top" wrapText="1" shrinkToFit="1"/>
    </xf>
    <xf numFmtId="0" fontId="41" fillId="0" borderId="6" xfId="0" applyFont="1" applyFill="1" applyBorder="1" applyAlignment="1" applyProtection="1">
      <alignment horizontal="center" vertical="top" wrapText="1" shrinkToFit="1"/>
    </xf>
    <xf numFmtId="0" fontId="102" fillId="0" borderId="122" xfId="0" applyFont="1" applyFill="1" applyBorder="1" applyAlignment="1" applyProtection="1">
      <alignment horizontal="center" vertical="center" shrinkToFit="1"/>
    </xf>
    <xf numFmtId="0" fontId="102" fillId="0" borderId="2" xfId="0" applyFont="1" applyFill="1" applyBorder="1" applyAlignment="1" applyProtection="1">
      <alignment horizontal="center" vertical="center" shrinkToFit="1"/>
    </xf>
    <xf numFmtId="0" fontId="102" fillId="0" borderId="116" xfId="0" applyFont="1" applyFill="1" applyBorder="1" applyAlignment="1" applyProtection="1">
      <alignment horizontal="center" vertical="center" shrinkToFit="1"/>
    </xf>
    <xf numFmtId="0" fontId="73" fillId="0" borderId="125" xfId="0" applyFont="1" applyFill="1" applyBorder="1" applyAlignment="1" applyProtection="1">
      <alignment horizontal="center" vertical="center" shrinkToFit="1"/>
    </xf>
    <xf numFmtId="0" fontId="73" fillId="0" borderId="126" xfId="0" applyFont="1" applyFill="1" applyBorder="1" applyAlignment="1" applyProtection="1">
      <alignment horizontal="center" vertical="center" shrinkToFit="1"/>
    </xf>
    <xf numFmtId="0" fontId="51" fillId="0" borderId="77" xfId="0" applyFont="1" applyFill="1" applyBorder="1" applyAlignment="1" applyProtection="1">
      <alignment horizontal="center" vertical="center" wrapText="1"/>
    </xf>
    <xf numFmtId="0" fontId="51" fillId="0" borderId="78" xfId="0" applyFont="1" applyFill="1" applyBorder="1" applyAlignment="1" applyProtection="1">
      <alignment horizontal="center" vertical="center" wrapText="1"/>
    </xf>
    <xf numFmtId="0" fontId="51" fillId="0" borderId="79" xfId="0" applyFont="1" applyFill="1" applyBorder="1" applyAlignment="1" applyProtection="1">
      <alignment horizontal="center" vertical="center" wrapText="1"/>
    </xf>
    <xf numFmtId="0" fontId="51" fillId="0" borderId="80" xfId="0" applyFont="1" applyFill="1" applyBorder="1" applyAlignment="1" applyProtection="1">
      <alignment horizontal="center" vertical="center" wrapText="1"/>
    </xf>
    <xf numFmtId="4" fontId="9" fillId="0" borderId="75" xfId="0" applyNumberFormat="1" applyFont="1" applyFill="1" applyBorder="1" applyAlignment="1" applyProtection="1">
      <alignment horizontal="center" vertical="center"/>
    </xf>
    <xf numFmtId="4" fontId="9" fillId="0" borderId="104" xfId="0" applyNumberFormat="1" applyFont="1" applyFill="1" applyBorder="1" applyAlignment="1" applyProtection="1">
      <alignment horizontal="center" vertical="center"/>
    </xf>
    <xf numFmtId="4" fontId="9" fillId="0" borderId="127" xfId="0" applyNumberFormat="1" applyFont="1" applyFill="1" applyBorder="1" applyAlignment="1" applyProtection="1">
      <alignment horizontal="center" vertical="center"/>
    </xf>
    <xf numFmtId="4" fontId="9" fillId="0" borderId="128" xfId="0" applyNumberFormat="1" applyFont="1" applyFill="1" applyBorder="1" applyAlignment="1" applyProtection="1">
      <alignment horizontal="center" vertical="center"/>
    </xf>
    <xf numFmtId="0" fontId="64" fillId="0" borderId="64" xfId="0" applyFont="1" applyFill="1" applyBorder="1" applyAlignment="1" applyProtection="1">
      <alignment horizontal="center" vertical="center"/>
    </xf>
    <xf numFmtId="0" fontId="64" fillId="0" borderId="65" xfId="0" applyFont="1" applyFill="1" applyBorder="1" applyAlignment="1" applyProtection="1">
      <alignment horizontal="center" vertical="center"/>
    </xf>
    <xf numFmtId="0" fontId="64" fillId="0" borderId="41" xfId="0" applyFont="1" applyFill="1" applyBorder="1" applyAlignment="1" applyProtection="1">
      <alignment horizontal="center" vertical="center"/>
    </xf>
    <xf numFmtId="0" fontId="64" fillId="0" borderId="17" xfId="0" applyFont="1" applyFill="1" applyBorder="1" applyAlignment="1" applyProtection="1">
      <alignment horizontal="center" vertical="center"/>
    </xf>
    <xf numFmtId="0" fontId="73" fillId="0" borderId="124" xfId="0" applyFont="1" applyFill="1" applyBorder="1" applyAlignment="1" applyProtection="1">
      <alignment horizontal="center" vertical="center" shrinkToFit="1"/>
    </xf>
    <xf numFmtId="0" fontId="73" fillId="0" borderId="11" xfId="0" applyFont="1" applyFill="1" applyBorder="1" applyAlignment="1" applyProtection="1">
      <alignment horizontal="center" vertical="center" shrinkToFit="1"/>
    </xf>
    <xf numFmtId="0" fontId="51" fillId="0" borderId="25" xfId="0" applyFont="1" applyFill="1" applyBorder="1" applyAlignment="1" applyProtection="1">
      <alignment horizontal="center" vertical="center" wrapText="1"/>
    </xf>
    <xf numFmtId="0" fontId="51" fillId="0" borderId="5" xfId="0" applyFont="1" applyFill="1" applyBorder="1" applyAlignment="1" applyProtection="1">
      <alignment horizontal="center" vertical="center" wrapText="1"/>
    </xf>
    <xf numFmtId="0" fontId="51" fillId="0" borderId="65" xfId="0" applyFont="1" applyFill="1" applyBorder="1" applyAlignment="1" applyProtection="1">
      <alignment horizontal="center" vertical="center" wrapText="1"/>
    </xf>
    <xf numFmtId="0" fontId="51" fillId="0" borderId="17" xfId="0" applyFont="1" applyFill="1" applyBorder="1" applyAlignment="1" applyProtection="1">
      <alignment horizontal="center" vertical="center" wrapText="1"/>
    </xf>
    <xf numFmtId="0" fontId="40" fillId="0" borderId="71" xfId="0" applyFont="1" applyFill="1" applyBorder="1" applyAlignment="1" applyProtection="1">
      <alignment horizontal="center" vertical="center"/>
    </xf>
    <xf numFmtId="0" fontId="40" fillId="0" borderId="72" xfId="0" applyFont="1" applyFill="1" applyBorder="1" applyAlignment="1" applyProtection="1">
      <alignment horizontal="center" vertical="center"/>
    </xf>
    <xf numFmtId="0" fontId="63" fillId="0" borderId="131" xfId="0" applyFont="1" applyFill="1" applyBorder="1" applyAlignment="1" applyProtection="1">
      <alignment horizontal="center" vertical="center"/>
    </xf>
    <xf numFmtId="0" fontId="63" fillId="0" borderId="19" xfId="0" applyFont="1" applyFill="1" applyBorder="1" applyAlignment="1" applyProtection="1">
      <alignment horizontal="center" vertical="center"/>
    </xf>
    <xf numFmtId="0" fontId="63" fillId="0" borderId="97" xfId="0" applyFont="1" applyFill="1" applyBorder="1" applyAlignment="1" applyProtection="1">
      <alignment horizontal="center" vertical="center"/>
    </xf>
    <xf numFmtId="0" fontId="95" fillId="0" borderId="0" xfId="0" applyFont="1" applyFill="1" applyBorder="1" applyAlignment="1" applyProtection="1">
      <alignment horizontal="center" vertical="center"/>
    </xf>
    <xf numFmtId="168" fontId="56" fillId="0" borderId="60" xfId="0" applyNumberFormat="1" applyFont="1" applyFill="1" applyBorder="1" applyAlignment="1" applyProtection="1">
      <alignment horizontal="center" vertical="center"/>
    </xf>
    <xf numFmtId="168" fontId="56" fillId="0" borderId="61" xfId="0" applyNumberFormat="1" applyFont="1" applyFill="1" applyBorder="1" applyAlignment="1" applyProtection="1">
      <alignment horizontal="center" vertical="center"/>
    </xf>
    <xf numFmtId="168" fontId="56" fillId="0" borderId="62" xfId="0" applyNumberFormat="1" applyFont="1" applyFill="1" applyBorder="1" applyAlignment="1" applyProtection="1">
      <alignment horizontal="center" vertical="center"/>
    </xf>
    <xf numFmtId="168" fontId="56" fillId="0" borderId="63" xfId="0" applyNumberFormat="1" applyFont="1" applyFill="1" applyBorder="1" applyAlignment="1" applyProtection="1">
      <alignment horizontal="center" vertical="center"/>
    </xf>
    <xf numFmtId="4" fontId="72" fillId="0" borderId="81" xfId="0" applyNumberFormat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168" fontId="40" fillId="0" borderId="50" xfId="0" applyNumberFormat="1" applyFont="1" applyFill="1" applyBorder="1" applyAlignment="1" applyProtection="1">
      <alignment horizontal="center" vertical="center"/>
    </xf>
    <xf numFmtId="168" fontId="40" fillId="0" borderId="51" xfId="0" applyNumberFormat="1" applyFont="1" applyFill="1" applyBorder="1" applyAlignment="1" applyProtection="1">
      <alignment horizontal="center" vertical="center"/>
    </xf>
    <xf numFmtId="0" fontId="101" fillId="0" borderId="122" xfId="0" applyFont="1" applyFill="1" applyBorder="1" applyAlignment="1" applyProtection="1">
      <alignment horizontal="center" vertical="center" shrinkToFit="1"/>
    </xf>
    <xf numFmtId="0" fontId="101" fillId="0" borderId="2" xfId="0" applyFont="1" applyFill="1" applyBorder="1" applyAlignment="1" applyProtection="1">
      <alignment horizontal="center" vertical="center" shrinkToFit="1"/>
    </xf>
    <xf numFmtId="0" fontId="101" fillId="0" borderId="116" xfId="0" applyFont="1" applyFill="1" applyBorder="1" applyAlignment="1" applyProtection="1">
      <alignment horizontal="center" vertical="center" shrinkToFit="1"/>
    </xf>
    <xf numFmtId="0" fontId="51" fillId="0" borderId="26" xfId="0" applyFont="1" applyFill="1" applyBorder="1" applyAlignment="1" applyProtection="1">
      <alignment horizontal="center" vertical="center" wrapText="1"/>
    </xf>
    <xf numFmtId="0" fontId="51" fillId="0" borderId="40" xfId="0" applyFont="1" applyFill="1" applyBorder="1" applyAlignment="1" applyProtection="1">
      <alignment horizontal="center" vertical="center" wrapText="1"/>
    </xf>
    <xf numFmtId="0" fontId="73" fillId="0" borderId="66" xfId="0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 applyProtection="1">
      <alignment horizontal="center" vertical="center" shrinkToFit="1"/>
    </xf>
    <xf numFmtId="0" fontId="51" fillId="0" borderId="34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73" fillId="0" borderId="30" xfId="0" applyFont="1" applyFill="1" applyBorder="1" applyAlignment="1" applyProtection="1">
      <alignment horizontal="center" vertical="center" shrinkToFit="1"/>
    </xf>
    <xf numFmtId="0" fontId="73" fillId="0" borderId="31" xfId="0" applyFont="1" applyFill="1" applyBorder="1" applyAlignment="1" applyProtection="1">
      <alignment horizontal="center" vertical="center" shrinkToFit="1"/>
    </xf>
    <xf numFmtId="0" fontId="32" fillId="0" borderId="0" xfId="0" applyFont="1" applyFill="1" applyBorder="1" applyAlignment="1" applyProtection="1">
      <alignment horizontal="right" vertical="center"/>
    </xf>
    <xf numFmtId="168" fontId="29" fillId="9" borderId="0" xfId="0" applyNumberFormat="1" applyFont="1" applyFill="1" applyBorder="1" applyAlignment="1" applyProtection="1">
      <alignment horizontal="center" vertical="center"/>
    </xf>
    <xf numFmtId="0" fontId="54" fillId="9" borderId="0" xfId="0" applyFont="1" applyFill="1" applyBorder="1" applyAlignment="1" applyProtection="1">
      <alignment horizontal="center" vertical="center"/>
    </xf>
    <xf numFmtId="169" fontId="55" fillId="9" borderId="0" xfId="0" quotePrefix="1" applyNumberFormat="1" applyFont="1" applyFill="1" applyBorder="1" applyAlignment="1" applyProtection="1">
      <alignment horizontal="center" vertical="center"/>
    </xf>
    <xf numFmtId="169" fontId="55" fillId="9" borderId="0" xfId="0" applyNumberFormat="1" applyFont="1" applyFill="1" applyBorder="1" applyAlignment="1" applyProtection="1">
      <alignment horizontal="center" vertical="center"/>
    </xf>
    <xf numFmtId="4" fontId="72" fillId="0" borderId="2" xfId="0" applyNumberFormat="1" applyFont="1" applyFill="1" applyBorder="1" applyAlignment="1" applyProtection="1">
      <alignment horizontal="center" vertical="center"/>
    </xf>
    <xf numFmtId="4" fontId="72" fillId="0" borderId="0" xfId="0" applyNumberFormat="1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 applyProtection="1">
      <alignment horizontal="center" vertical="center" wrapText="1"/>
    </xf>
    <xf numFmtId="168" fontId="42" fillId="9" borderId="0" xfId="0" applyNumberFormat="1" applyFont="1" applyFill="1" applyBorder="1" applyAlignment="1" applyProtection="1">
      <alignment horizontal="center" vertical="center"/>
    </xf>
    <xf numFmtId="0" fontId="43" fillId="9" borderId="0" xfId="0" quotePrefix="1" applyFont="1" applyFill="1" applyBorder="1" applyAlignment="1" applyProtection="1">
      <alignment horizontal="right" vertical="center"/>
    </xf>
    <xf numFmtId="0" fontId="43" fillId="9" borderId="0" xfId="0" applyFont="1" applyFill="1" applyBorder="1" applyAlignment="1" applyProtection="1">
      <alignment horizontal="right" vertical="center"/>
    </xf>
    <xf numFmtId="168" fontId="43" fillId="9" borderId="0" xfId="0" applyNumberFormat="1" applyFont="1" applyFill="1" applyBorder="1" applyAlignment="1" applyProtection="1">
      <alignment horizontal="center" vertical="center"/>
    </xf>
    <xf numFmtId="0" fontId="9" fillId="9" borderId="0" xfId="0" quotePrefix="1" applyFont="1" applyFill="1" applyBorder="1" applyAlignment="1" applyProtection="1">
      <alignment horizontal="right" vertical="center"/>
    </xf>
    <xf numFmtId="0" fontId="9" fillId="9" borderId="0" xfId="0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horizontal="right" vertical="center"/>
    </xf>
    <xf numFmtId="168" fontId="7" fillId="0" borderId="0" xfId="0" applyNumberFormat="1" applyFont="1" applyFill="1" applyBorder="1" applyAlignment="1" applyProtection="1">
      <alignment horizontal="center" vertical="center" wrapText="1"/>
    </xf>
    <xf numFmtId="168" fontId="7" fillId="0" borderId="5" xfId="0" applyNumberFormat="1" applyFont="1" applyFill="1" applyBorder="1" applyAlignment="1" applyProtection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left" vertical="center" shrinkToFit="1"/>
    </xf>
    <xf numFmtId="0" fontId="73" fillId="0" borderId="28" xfId="0" applyFont="1" applyFill="1" applyBorder="1" applyAlignment="1" applyProtection="1">
      <alignment horizontal="center" vertical="center" shrinkToFit="1"/>
    </xf>
    <xf numFmtId="0" fontId="73" fillId="0" borderId="14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right" vertical="center"/>
    </xf>
    <xf numFmtId="0" fontId="18" fillId="0" borderId="53" xfId="0" applyFont="1" applyFill="1" applyBorder="1" applyAlignment="1" applyProtection="1">
      <alignment horizontal="right" vertical="center"/>
    </xf>
    <xf numFmtId="0" fontId="18" fillId="0" borderId="55" xfId="0" applyFont="1" applyFill="1" applyBorder="1" applyAlignment="1" applyProtection="1">
      <alignment horizontal="right" vertical="center"/>
    </xf>
    <xf numFmtId="0" fontId="76" fillId="0" borderId="53" xfId="0" applyNumberFormat="1" applyFont="1" applyFill="1" applyBorder="1" applyAlignment="1" applyProtection="1">
      <alignment horizontal="left" vertical="center" shrinkToFit="1"/>
    </xf>
    <xf numFmtId="0" fontId="18" fillId="0" borderId="122" xfId="0" applyFont="1" applyFill="1" applyBorder="1" applyAlignment="1" applyProtection="1">
      <alignment horizontal="right" vertical="center"/>
    </xf>
    <xf numFmtId="0" fontId="18" fillId="0" borderId="2" xfId="0" applyFont="1" applyFill="1" applyBorder="1" applyAlignment="1" applyProtection="1">
      <alignment horizontal="right" vertical="center"/>
    </xf>
    <xf numFmtId="0" fontId="18" fillId="0" borderId="46" xfId="0" applyFont="1" applyFill="1" applyBorder="1" applyAlignment="1" applyProtection="1">
      <alignment horizontal="right" vertical="center"/>
    </xf>
    <xf numFmtId="0" fontId="18" fillId="0" borderId="47" xfId="0" applyFont="1" applyFill="1" applyBorder="1" applyAlignment="1" applyProtection="1">
      <alignment horizontal="right" vertical="center"/>
    </xf>
    <xf numFmtId="0" fontId="18" fillId="0" borderId="85" xfId="0" applyFont="1" applyFill="1" applyBorder="1" applyAlignment="1" applyProtection="1">
      <alignment horizontal="center" vertical="center" wrapText="1" shrinkToFit="1"/>
    </xf>
    <xf numFmtId="0" fontId="18" fillId="0" borderId="86" xfId="0" applyFont="1" applyFill="1" applyBorder="1" applyAlignment="1" applyProtection="1">
      <alignment horizontal="center" vertical="center" wrapText="1" shrinkToFit="1"/>
    </xf>
    <xf numFmtId="0" fontId="51" fillId="13" borderId="77" xfId="0" applyFont="1" applyFill="1" applyBorder="1" applyAlignment="1" applyProtection="1">
      <alignment horizontal="center" vertical="center" wrapText="1"/>
    </xf>
    <xf numFmtId="0" fontId="51" fillId="13" borderId="26" xfId="0" applyFont="1" applyFill="1" applyBorder="1" applyAlignment="1" applyProtection="1">
      <alignment horizontal="center" vertical="center" wrapText="1"/>
    </xf>
    <xf numFmtId="0" fontId="51" fillId="13" borderId="79" xfId="0" applyFont="1" applyFill="1" applyBorder="1" applyAlignment="1" applyProtection="1">
      <alignment horizontal="center" vertical="center" wrapText="1"/>
    </xf>
    <xf numFmtId="0" fontId="51" fillId="13" borderId="40" xfId="0" applyFont="1" applyFill="1" applyBorder="1" applyAlignment="1" applyProtection="1">
      <alignment horizontal="center" vertical="center" wrapText="1"/>
    </xf>
    <xf numFmtId="0" fontId="51" fillId="13" borderId="78" xfId="0" applyFont="1" applyFill="1" applyBorder="1" applyAlignment="1" applyProtection="1">
      <alignment horizontal="center" vertical="center" wrapText="1"/>
    </xf>
    <xf numFmtId="0" fontId="51" fillId="13" borderId="80" xfId="0" applyFont="1" applyFill="1" applyBorder="1" applyAlignment="1" applyProtection="1">
      <alignment horizontal="center" vertical="center" wrapText="1"/>
    </xf>
    <xf numFmtId="4" fontId="56" fillId="0" borderId="60" xfId="0" applyNumberFormat="1" applyFont="1" applyFill="1" applyBorder="1" applyAlignment="1" applyProtection="1">
      <alignment horizontal="center" vertical="center" shrinkToFit="1"/>
    </xf>
    <xf numFmtId="4" fontId="56" fillId="0" borderId="61" xfId="0" applyNumberFormat="1" applyFont="1" applyFill="1" applyBorder="1" applyAlignment="1" applyProtection="1">
      <alignment horizontal="center" vertical="center" shrinkToFit="1"/>
    </xf>
    <xf numFmtId="4" fontId="56" fillId="0" borderId="62" xfId="0" applyNumberFormat="1" applyFont="1" applyFill="1" applyBorder="1" applyAlignment="1" applyProtection="1">
      <alignment horizontal="center" vertical="center" shrinkToFit="1"/>
    </xf>
    <xf numFmtId="4" fontId="56" fillId="0" borderId="63" xfId="0" applyNumberFormat="1" applyFont="1" applyFill="1" applyBorder="1" applyAlignment="1" applyProtection="1">
      <alignment horizontal="center" vertical="center" shrinkToFit="1"/>
    </xf>
    <xf numFmtId="4" fontId="40" fillId="0" borderId="50" xfId="0" applyNumberFormat="1" applyFont="1" applyFill="1" applyBorder="1" applyAlignment="1" applyProtection="1">
      <alignment horizontal="center" vertical="center" shrinkToFit="1"/>
    </xf>
    <xf numFmtId="4" fontId="40" fillId="0" borderId="51" xfId="0" applyNumberFormat="1" applyFont="1" applyFill="1" applyBorder="1" applyAlignment="1" applyProtection="1">
      <alignment horizontal="center" vertical="center" shrinkToFit="1"/>
    </xf>
    <xf numFmtId="4" fontId="72" fillId="0" borderId="2" xfId="0" applyNumberFormat="1" applyFont="1" applyFill="1" applyBorder="1" applyAlignment="1" applyProtection="1">
      <alignment horizontal="center" vertical="center" shrinkToFit="1"/>
    </xf>
    <xf numFmtId="167" fontId="85" fillId="0" borderId="37" xfId="0" applyNumberFormat="1" applyFont="1" applyFill="1" applyBorder="1" applyAlignment="1" applyProtection="1">
      <alignment horizontal="right" vertical="center" shrinkToFit="1"/>
    </xf>
    <xf numFmtId="167" fontId="85" fillId="0" borderId="0" xfId="0" applyNumberFormat="1" applyFont="1" applyFill="1" applyBorder="1" applyAlignment="1" applyProtection="1">
      <alignment horizontal="right" vertical="center" shrinkToFit="1"/>
    </xf>
    <xf numFmtId="4" fontId="72" fillId="0" borderId="81" xfId="0" applyNumberFormat="1" applyFont="1" applyFill="1" applyBorder="1" applyAlignment="1" applyProtection="1">
      <alignment horizontal="center" vertical="center" shrinkToFit="1"/>
    </xf>
  </cellXfs>
  <cellStyles count="3">
    <cellStyle name="g" xfId="1" xr:uid="{00000000-0005-0000-0000-000000000000}"/>
    <cellStyle name="g 2" xfId="2" xr:uid="{00000000-0005-0000-0000-000001000000}"/>
    <cellStyle name="Normal" xfId="0" builtinId="0"/>
  </cellStyles>
  <dxfs count="189"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color theme="7" tint="-0.24994659260841701"/>
      </font>
    </dxf>
    <dxf>
      <font>
        <b/>
        <i val="0"/>
        <color rgb="FF008000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color rgb="FF008000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b/>
        <i val="0"/>
        <color rgb="FF0000FF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b/>
        <i val="0"/>
        <color rgb="FF0000FF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0" tint="-0.24994659260841701"/>
      </font>
    </dxf>
    <dxf>
      <font>
        <b val="0"/>
        <i val="0"/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/>
        <i val="0"/>
        <color rgb="FFFF0000"/>
      </font>
    </dxf>
    <dxf>
      <font>
        <b val="0"/>
        <i val="0"/>
        <color theme="5" tint="0.59996337778862885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1" tint="0.499984740745262"/>
      </font>
    </dxf>
    <dxf>
      <font>
        <b val="0"/>
        <i val="0"/>
        <color theme="1" tint="0.499984740745262"/>
      </font>
    </dxf>
    <dxf>
      <font>
        <color theme="0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color theme="7" tint="-0.24994659260841701"/>
      </font>
    </dxf>
    <dxf>
      <font>
        <b/>
        <i val="0"/>
        <color rgb="FF008000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color rgb="FF008000"/>
      </font>
    </dxf>
    <dxf>
      <font>
        <color theme="0"/>
      </font>
    </dxf>
    <dxf>
      <font>
        <color theme="0" tint="-0.34998626667073579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 val="0"/>
        <i val="0"/>
        <color theme="5" tint="0.79998168889431442"/>
      </font>
    </dxf>
    <dxf>
      <font>
        <b/>
        <i val="0"/>
        <color rgb="FFFF0000"/>
      </font>
    </dxf>
    <dxf>
      <font>
        <b val="0"/>
        <i val="0"/>
        <color theme="5" tint="0.59996337778862885"/>
      </font>
    </dxf>
    <dxf>
      <font>
        <b val="0"/>
        <i val="0"/>
        <color theme="5" tint="0.79998168889431442"/>
      </font>
    </dxf>
    <dxf>
      <font>
        <b val="0"/>
        <i val="0"/>
        <color theme="0" tint="-0.24994659260841701"/>
      </font>
    </dxf>
    <dxf>
      <font>
        <b val="0"/>
        <i val="0"/>
        <color theme="0" tint="-0.34998626667073579"/>
      </font>
    </dxf>
    <dxf>
      <font>
        <b val="0"/>
        <i val="0"/>
        <color theme="1" tint="0.499984740745262"/>
      </font>
    </dxf>
    <dxf>
      <font>
        <b/>
        <i val="0"/>
        <color auto="1"/>
      </font>
    </dxf>
    <dxf>
      <font>
        <b val="0"/>
        <i val="0"/>
        <color theme="1" tint="0.499984740745262"/>
      </font>
    </dxf>
    <dxf>
      <font>
        <b val="0"/>
        <i val="0"/>
        <color theme="1" tint="0.499984740745262"/>
      </font>
    </dxf>
    <dxf>
      <font>
        <color theme="0"/>
      </font>
    </dxf>
    <dxf>
      <font>
        <b val="0"/>
        <i val="0"/>
        <color theme="0" tint="-0.34998626667073579"/>
      </font>
    </dxf>
    <dxf>
      <font>
        <b/>
        <i val="0"/>
        <color rgb="FF0000FF"/>
      </font>
    </dxf>
    <dxf>
      <font>
        <b/>
        <i val="0"/>
        <color auto="1"/>
      </font>
    </dxf>
    <dxf>
      <font>
        <b/>
        <i val="0"/>
        <color theme="7" tint="-0.24994659260841701"/>
      </font>
    </dxf>
    <dxf>
      <font>
        <b/>
        <i val="0"/>
        <color rgb="FF008000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color rgb="FF008000"/>
      </font>
    </dxf>
    <dxf>
      <font>
        <b/>
        <i val="0"/>
        <strike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E1FF"/>
      <color rgb="FFCCFFFF"/>
      <color rgb="FF0000FF"/>
      <color rgb="FFFFCCFF"/>
      <color rgb="FFE7F6FF"/>
      <color rgb="FFFFFFCC"/>
      <color rgb="FF008000"/>
      <color rgb="FF003300"/>
      <color rgb="FF5F5F5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51"/>
  <sheetViews>
    <sheetView zoomScaleNormal="100" workbookViewId="0">
      <selection activeCell="K3" sqref="K3:L3"/>
    </sheetView>
  </sheetViews>
  <sheetFormatPr defaultColWidth="9.140625" defaultRowHeight="14.25"/>
  <cols>
    <col min="1" max="1" width="3.7109375" style="236" customWidth="1"/>
    <col min="2" max="2" width="23.7109375" style="236" customWidth="1"/>
    <col min="3" max="3" width="10.85546875" style="236" bestFit="1" customWidth="1"/>
    <col min="4" max="4" width="9.7109375" style="236" customWidth="1"/>
    <col min="5" max="12" width="12.7109375" style="236" customWidth="1"/>
    <col min="13" max="20" width="10.7109375" style="236" customWidth="1"/>
    <col min="21" max="250" width="6.7109375" style="236"/>
    <col min="251" max="253" width="10.7109375" style="236" customWidth="1"/>
    <col min="254" max="254" width="6.7109375" style="236" customWidth="1"/>
    <col min="255" max="258" width="10.7109375" style="236" customWidth="1"/>
    <col min="259" max="259" width="3.7109375" style="236" customWidth="1"/>
    <col min="260" max="267" width="10.7109375" style="236" customWidth="1"/>
    <col min="268" max="506" width="6.7109375" style="236"/>
    <col min="507" max="509" width="10.7109375" style="236" customWidth="1"/>
    <col min="510" max="510" width="6.7109375" style="236" customWidth="1"/>
    <col min="511" max="514" width="10.7109375" style="236" customWidth="1"/>
    <col min="515" max="515" width="3.7109375" style="236" customWidth="1"/>
    <col min="516" max="523" width="10.7109375" style="236" customWidth="1"/>
    <col min="524" max="762" width="6.7109375" style="236"/>
    <col min="763" max="765" width="10.7109375" style="236" customWidth="1"/>
    <col min="766" max="766" width="6.7109375" style="236" customWidth="1"/>
    <col min="767" max="770" width="10.7109375" style="236" customWidth="1"/>
    <col min="771" max="771" width="3.7109375" style="236" customWidth="1"/>
    <col min="772" max="779" width="10.7109375" style="236" customWidth="1"/>
    <col min="780" max="1018" width="9.140625" style="236"/>
    <col min="1019" max="1021" width="10.7109375" style="236" customWidth="1"/>
    <col min="1022" max="1022" width="6.7109375" style="236" customWidth="1"/>
    <col min="1023" max="1026" width="10.7109375" style="236" customWidth="1"/>
    <col min="1027" max="1027" width="3.7109375" style="236" customWidth="1"/>
    <col min="1028" max="1035" width="10.7109375" style="236" customWidth="1"/>
    <col min="1036" max="1274" width="6.7109375" style="236"/>
    <col min="1275" max="1277" width="10.7109375" style="236" customWidth="1"/>
    <col min="1278" max="1278" width="6.7109375" style="236" customWidth="1"/>
    <col min="1279" max="1282" width="10.7109375" style="236" customWidth="1"/>
    <col min="1283" max="1283" width="3.7109375" style="236" customWidth="1"/>
    <col min="1284" max="1291" width="10.7109375" style="236" customWidth="1"/>
    <col min="1292" max="1530" width="6.7109375" style="236"/>
    <col min="1531" max="1533" width="10.7109375" style="236" customWidth="1"/>
    <col min="1534" max="1534" width="6.7109375" style="236" customWidth="1"/>
    <col min="1535" max="1538" width="10.7109375" style="236" customWidth="1"/>
    <col min="1539" max="1539" width="3.7109375" style="236" customWidth="1"/>
    <col min="1540" max="1547" width="10.7109375" style="236" customWidth="1"/>
    <col min="1548" max="1786" width="6.7109375" style="236"/>
    <col min="1787" max="1789" width="10.7109375" style="236" customWidth="1"/>
    <col min="1790" max="1790" width="6.7109375" style="236" customWidth="1"/>
    <col min="1791" max="1794" width="10.7109375" style="236" customWidth="1"/>
    <col min="1795" max="1795" width="3.7109375" style="236" customWidth="1"/>
    <col min="1796" max="1803" width="10.7109375" style="236" customWidth="1"/>
    <col min="1804" max="2042" width="9.140625" style="236"/>
    <col min="2043" max="2045" width="10.7109375" style="236" customWidth="1"/>
    <col min="2046" max="2046" width="6.7109375" style="236" customWidth="1"/>
    <col min="2047" max="2050" width="10.7109375" style="236" customWidth="1"/>
    <col min="2051" max="2051" width="3.7109375" style="236" customWidth="1"/>
    <col min="2052" max="2059" width="10.7109375" style="236" customWidth="1"/>
    <col min="2060" max="2298" width="6.7109375" style="236"/>
    <col min="2299" max="2301" width="10.7109375" style="236" customWidth="1"/>
    <col min="2302" max="2302" width="6.7109375" style="236" customWidth="1"/>
    <col min="2303" max="2306" width="10.7109375" style="236" customWidth="1"/>
    <col min="2307" max="2307" width="3.7109375" style="236" customWidth="1"/>
    <col min="2308" max="2315" width="10.7109375" style="236" customWidth="1"/>
    <col min="2316" max="2554" width="6.7109375" style="236"/>
    <col min="2555" max="2557" width="10.7109375" style="236" customWidth="1"/>
    <col min="2558" max="2558" width="6.7109375" style="236" customWidth="1"/>
    <col min="2559" max="2562" width="10.7109375" style="236" customWidth="1"/>
    <col min="2563" max="2563" width="3.7109375" style="236" customWidth="1"/>
    <col min="2564" max="2571" width="10.7109375" style="236" customWidth="1"/>
    <col min="2572" max="2810" width="6.7109375" style="236"/>
    <col min="2811" max="2813" width="10.7109375" style="236" customWidth="1"/>
    <col min="2814" max="2814" width="6.7109375" style="236" customWidth="1"/>
    <col min="2815" max="2818" width="10.7109375" style="236" customWidth="1"/>
    <col min="2819" max="2819" width="3.7109375" style="236" customWidth="1"/>
    <col min="2820" max="2827" width="10.7109375" style="236" customWidth="1"/>
    <col min="2828" max="3066" width="9.140625" style="236"/>
    <col min="3067" max="3069" width="10.7109375" style="236" customWidth="1"/>
    <col min="3070" max="3070" width="6.7109375" style="236" customWidth="1"/>
    <col min="3071" max="3074" width="10.7109375" style="236" customWidth="1"/>
    <col min="3075" max="3075" width="3.7109375" style="236" customWidth="1"/>
    <col min="3076" max="3083" width="10.7109375" style="236" customWidth="1"/>
    <col min="3084" max="3322" width="6.7109375" style="236"/>
    <col min="3323" max="3325" width="10.7109375" style="236" customWidth="1"/>
    <col min="3326" max="3326" width="6.7109375" style="236" customWidth="1"/>
    <col min="3327" max="3330" width="10.7109375" style="236" customWidth="1"/>
    <col min="3331" max="3331" width="3.7109375" style="236" customWidth="1"/>
    <col min="3332" max="3339" width="10.7109375" style="236" customWidth="1"/>
    <col min="3340" max="3578" width="6.7109375" style="236"/>
    <col min="3579" max="3581" width="10.7109375" style="236" customWidth="1"/>
    <col min="3582" max="3582" width="6.7109375" style="236" customWidth="1"/>
    <col min="3583" max="3586" width="10.7109375" style="236" customWidth="1"/>
    <col min="3587" max="3587" width="3.7109375" style="236" customWidth="1"/>
    <col min="3588" max="3595" width="10.7109375" style="236" customWidth="1"/>
    <col min="3596" max="3834" width="6.7109375" style="236"/>
    <col min="3835" max="3837" width="10.7109375" style="236" customWidth="1"/>
    <col min="3838" max="3838" width="6.7109375" style="236" customWidth="1"/>
    <col min="3839" max="3842" width="10.7109375" style="236" customWidth="1"/>
    <col min="3843" max="3843" width="3.7109375" style="236" customWidth="1"/>
    <col min="3844" max="3851" width="10.7109375" style="236" customWidth="1"/>
    <col min="3852" max="4090" width="9.140625" style="236"/>
    <col min="4091" max="4093" width="10.7109375" style="236" customWidth="1"/>
    <col min="4094" max="4094" width="6.7109375" style="236" customWidth="1"/>
    <col min="4095" max="4098" width="10.7109375" style="236" customWidth="1"/>
    <col min="4099" max="4099" width="3.7109375" style="236" customWidth="1"/>
    <col min="4100" max="4107" width="10.7109375" style="236" customWidth="1"/>
    <col min="4108" max="4346" width="6.7109375" style="236"/>
    <col min="4347" max="4349" width="10.7109375" style="236" customWidth="1"/>
    <col min="4350" max="4350" width="6.7109375" style="236" customWidth="1"/>
    <col min="4351" max="4354" width="10.7109375" style="236" customWidth="1"/>
    <col min="4355" max="4355" width="3.7109375" style="236" customWidth="1"/>
    <col min="4356" max="4363" width="10.7109375" style="236" customWidth="1"/>
    <col min="4364" max="4602" width="6.7109375" style="236"/>
    <col min="4603" max="4605" width="10.7109375" style="236" customWidth="1"/>
    <col min="4606" max="4606" width="6.7109375" style="236" customWidth="1"/>
    <col min="4607" max="4610" width="10.7109375" style="236" customWidth="1"/>
    <col min="4611" max="4611" width="3.7109375" style="236" customWidth="1"/>
    <col min="4612" max="4619" width="10.7109375" style="236" customWidth="1"/>
    <col min="4620" max="4858" width="6.7109375" style="236"/>
    <col min="4859" max="4861" width="10.7109375" style="236" customWidth="1"/>
    <col min="4862" max="4862" width="6.7109375" style="236" customWidth="1"/>
    <col min="4863" max="4866" width="10.7109375" style="236" customWidth="1"/>
    <col min="4867" max="4867" width="3.7109375" style="236" customWidth="1"/>
    <col min="4868" max="4875" width="10.7109375" style="236" customWidth="1"/>
    <col min="4876" max="5114" width="9.140625" style="236"/>
    <col min="5115" max="5117" width="10.7109375" style="236" customWidth="1"/>
    <col min="5118" max="5118" width="6.7109375" style="236" customWidth="1"/>
    <col min="5119" max="5122" width="10.7109375" style="236" customWidth="1"/>
    <col min="5123" max="5123" width="3.7109375" style="236" customWidth="1"/>
    <col min="5124" max="5131" width="10.7109375" style="236" customWidth="1"/>
    <col min="5132" max="5370" width="6.7109375" style="236"/>
    <col min="5371" max="5373" width="10.7109375" style="236" customWidth="1"/>
    <col min="5374" max="5374" width="6.7109375" style="236" customWidth="1"/>
    <col min="5375" max="5378" width="10.7109375" style="236" customWidth="1"/>
    <col min="5379" max="5379" width="3.7109375" style="236" customWidth="1"/>
    <col min="5380" max="5387" width="10.7109375" style="236" customWidth="1"/>
    <col min="5388" max="5626" width="6.7109375" style="236"/>
    <col min="5627" max="5629" width="10.7109375" style="236" customWidth="1"/>
    <col min="5630" max="5630" width="6.7109375" style="236" customWidth="1"/>
    <col min="5631" max="5634" width="10.7109375" style="236" customWidth="1"/>
    <col min="5635" max="5635" width="3.7109375" style="236" customWidth="1"/>
    <col min="5636" max="5643" width="10.7109375" style="236" customWidth="1"/>
    <col min="5644" max="5882" width="6.7109375" style="236"/>
    <col min="5883" max="5885" width="10.7109375" style="236" customWidth="1"/>
    <col min="5886" max="5886" width="6.7109375" style="236" customWidth="1"/>
    <col min="5887" max="5890" width="10.7109375" style="236" customWidth="1"/>
    <col min="5891" max="5891" width="3.7109375" style="236" customWidth="1"/>
    <col min="5892" max="5899" width="10.7109375" style="236" customWidth="1"/>
    <col min="5900" max="6138" width="9.140625" style="236"/>
    <col min="6139" max="6141" width="10.7109375" style="236" customWidth="1"/>
    <col min="6142" max="6142" width="6.7109375" style="236" customWidth="1"/>
    <col min="6143" max="6146" width="10.7109375" style="236" customWidth="1"/>
    <col min="6147" max="6147" width="3.7109375" style="236" customWidth="1"/>
    <col min="6148" max="6155" width="10.7109375" style="236" customWidth="1"/>
    <col min="6156" max="6394" width="6.7109375" style="236"/>
    <col min="6395" max="6397" width="10.7109375" style="236" customWidth="1"/>
    <col min="6398" max="6398" width="6.7109375" style="236" customWidth="1"/>
    <col min="6399" max="6402" width="10.7109375" style="236" customWidth="1"/>
    <col min="6403" max="6403" width="3.7109375" style="236" customWidth="1"/>
    <col min="6404" max="6411" width="10.7109375" style="236" customWidth="1"/>
    <col min="6412" max="6650" width="6.7109375" style="236"/>
    <col min="6651" max="6653" width="10.7109375" style="236" customWidth="1"/>
    <col min="6654" max="6654" width="6.7109375" style="236" customWidth="1"/>
    <col min="6655" max="6658" width="10.7109375" style="236" customWidth="1"/>
    <col min="6659" max="6659" width="3.7109375" style="236" customWidth="1"/>
    <col min="6660" max="6667" width="10.7109375" style="236" customWidth="1"/>
    <col min="6668" max="6906" width="6.7109375" style="236"/>
    <col min="6907" max="6909" width="10.7109375" style="236" customWidth="1"/>
    <col min="6910" max="6910" width="6.7109375" style="236" customWidth="1"/>
    <col min="6911" max="6914" width="10.7109375" style="236" customWidth="1"/>
    <col min="6915" max="6915" width="3.7109375" style="236" customWidth="1"/>
    <col min="6916" max="6923" width="10.7109375" style="236" customWidth="1"/>
    <col min="6924" max="7162" width="9.140625" style="236"/>
    <col min="7163" max="7165" width="10.7109375" style="236" customWidth="1"/>
    <col min="7166" max="7166" width="6.7109375" style="236" customWidth="1"/>
    <col min="7167" max="7170" width="10.7109375" style="236" customWidth="1"/>
    <col min="7171" max="7171" width="3.7109375" style="236" customWidth="1"/>
    <col min="7172" max="7179" width="10.7109375" style="236" customWidth="1"/>
    <col min="7180" max="7418" width="6.7109375" style="236"/>
    <col min="7419" max="7421" width="10.7109375" style="236" customWidth="1"/>
    <col min="7422" max="7422" width="6.7109375" style="236" customWidth="1"/>
    <col min="7423" max="7426" width="10.7109375" style="236" customWidth="1"/>
    <col min="7427" max="7427" width="3.7109375" style="236" customWidth="1"/>
    <col min="7428" max="7435" width="10.7109375" style="236" customWidth="1"/>
    <col min="7436" max="7674" width="6.7109375" style="236"/>
    <col min="7675" max="7677" width="10.7109375" style="236" customWidth="1"/>
    <col min="7678" max="7678" width="6.7109375" style="236" customWidth="1"/>
    <col min="7679" max="7682" width="10.7109375" style="236" customWidth="1"/>
    <col min="7683" max="7683" width="3.7109375" style="236" customWidth="1"/>
    <col min="7684" max="7691" width="10.7109375" style="236" customWidth="1"/>
    <col min="7692" max="7930" width="6.7109375" style="236"/>
    <col min="7931" max="7933" width="10.7109375" style="236" customWidth="1"/>
    <col min="7934" max="7934" width="6.7109375" style="236" customWidth="1"/>
    <col min="7935" max="7938" width="10.7109375" style="236" customWidth="1"/>
    <col min="7939" max="7939" width="3.7109375" style="236" customWidth="1"/>
    <col min="7940" max="7947" width="10.7109375" style="236" customWidth="1"/>
    <col min="7948" max="8186" width="9.140625" style="236"/>
    <col min="8187" max="8189" width="10.7109375" style="236" customWidth="1"/>
    <col min="8190" max="8190" width="6.7109375" style="236" customWidth="1"/>
    <col min="8191" max="8194" width="10.7109375" style="236" customWidth="1"/>
    <col min="8195" max="8195" width="3.7109375" style="236" customWidth="1"/>
    <col min="8196" max="8203" width="10.7109375" style="236" customWidth="1"/>
    <col min="8204" max="8442" width="6.7109375" style="236"/>
    <col min="8443" max="8445" width="10.7109375" style="236" customWidth="1"/>
    <col min="8446" max="8446" width="6.7109375" style="236" customWidth="1"/>
    <col min="8447" max="8450" width="10.7109375" style="236" customWidth="1"/>
    <col min="8451" max="8451" width="3.7109375" style="236" customWidth="1"/>
    <col min="8452" max="8459" width="10.7109375" style="236" customWidth="1"/>
    <col min="8460" max="8698" width="6.7109375" style="236"/>
    <col min="8699" max="8701" width="10.7109375" style="236" customWidth="1"/>
    <col min="8702" max="8702" width="6.7109375" style="236" customWidth="1"/>
    <col min="8703" max="8706" width="10.7109375" style="236" customWidth="1"/>
    <col min="8707" max="8707" width="3.7109375" style="236" customWidth="1"/>
    <col min="8708" max="8715" width="10.7109375" style="236" customWidth="1"/>
    <col min="8716" max="8954" width="6.7109375" style="236"/>
    <col min="8955" max="8957" width="10.7109375" style="236" customWidth="1"/>
    <col min="8958" max="8958" width="6.7109375" style="236" customWidth="1"/>
    <col min="8959" max="8962" width="10.7109375" style="236" customWidth="1"/>
    <col min="8963" max="8963" width="3.7109375" style="236" customWidth="1"/>
    <col min="8964" max="8971" width="10.7109375" style="236" customWidth="1"/>
    <col min="8972" max="9210" width="9.140625" style="236"/>
    <col min="9211" max="9213" width="10.7109375" style="236" customWidth="1"/>
    <col min="9214" max="9214" width="6.7109375" style="236" customWidth="1"/>
    <col min="9215" max="9218" width="10.7109375" style="236" customWidth="1"/>
    <col min="9219" max="9219" width="3.7109375" style="236" customWidth="1"/>
    <col min="9220" max="9227" width="10.7109375" style="236" customWidth="1"/>
    <col min="9228" max="9466" width="6.7109375" style="236"/>
    <col min="9467" max="9469" width="10.7109375" style="236" customWidth="1"/>
    <col min="9470" max="9470" width="6.7109375" style="236" customWidth="1"/>
    <col min="9471" max="9474" width="10.7109375" style="236" customWidth="1"/>
    <col min="9475" max="9475" width="3.7109375" style="236" customWidth="1"/>
    <col min="9476" max="9483" width="10.7109375" style="236" customWidth="1"/>
    <col min="9484" max="9722" width="6.7109375" style="236"/>
    <col min="9723" max="9725" width="10.7109375" style="236" customWidth="1"/>
    <col min="9726" max="9726" width="6.7109375" style="236" customWidth="1"/>
    <col min="9727" max="9730" width="10.7109375" style="236" customWidth="1"/>
    <col min="9731" max="9731" width="3.7109375" style="236" customWidth="1"/>
    <col min="9732" max="9739" width="10.7109375" style="236" customWidth="1"/>
    <col min="9740" max="9978" width="6.7109375" style="236"/>
    <col min="9979" max="9981" width="10.7109375" style="236" customWidth="1"/>
    <col min="9982" max="9982" width="6.7109375" style="236" customWidth="1"/>
    <col min="9983" max="9986" width="10.7109375" style="236" customWidth="1"/>
    <col min="9987" max="9987" width="3.7109375" style="236" customWidth="1"/>
    <col min="9988" max="9995" width="10.7109375" style="236" customWidth="1"/>
    <col min="9996" max="10234" width="9.140625" style="236"/>
    <col min="10235" max="10237" width="10.7109375" style="236" customWidth="1"/>
    <col min="10238" max="10238" width="6.7109375" style="236" customWidth="1"/>
    <col min="10239" max="10242" width="10.7109375" style="236" customWidth="1"/>
    <col min="10243" max="10243" width="3.7109375" style="236" customWidth="1"/>
    <col min="10244" max="10251" width="10.7109375" style="236" customWidth="1"/>
    <col min="10252" max="10490" width="6.7109375" style="236"/>
    <col min="10491" max="10493" width="10.7109375" style="236" customWidth="1"/>
    <col min="10494" max="10494" width="6.7109375" style="236" customWidth="1"/>
    <col min="10495" max="10498" width="10.7109375" style="236" customWidth="1"/>
    <col min="10499" max="10499" width="3.7109375" style="236" customWidth="1"/>
    <col min="10500" max="10507" width="10.7109375" style="236" customWidth="1"/>
    <col min="10508" max="10746" width="6.7109375" style="236"/>
    <col min="10747" max="10749" width="10.7109375" style="236" customWidth="1"/>
    <col min="10750" max="10750" width="6.7109375" style="236" customWidth="1"/>
    <col min="10751" max="10754" width="10.7109375" style="236" customWidth="1"/>
    <col min="10755" max="10755" width="3.7109375" style="236" customWidth="1"/>
    <col min="10756" max="10763" width="10.7109375" style="236" customWidth="1"/>
    <col min="10764" max="11002" width="6.7109375" style="236"/>
    <col min="11003" max="11005" width="10.7109375" style="236" customWidth="1"/>
    <col min="11006" max="11006" width="6.7109375" style="236" customWidth="1"/>
    <col min="11007" max="11010" width="10.7109375" style="236" customWidth="1"/>
    <col min="11011" max="11011" width="3.7109375" style="236" customWidth="1"/>
    <col min="11012" max="11019" width="10.7109375" style="236" customWidth="1"/>
    <col min="11020" max="11258" width="9.140625" style="236"/>
    <col min="11259" max="11261" width="10.7109375" style="236" customWidth="1"/>
    <col min="11262" max="11262" width="6.7109375" style="236" customWidth="1"/>
    <col min="11263" max="11266" width="10.7109375" style="236" customWidth="1"/>
    <col min="11267" max="11267" width="3.7109375" style="236" customWidth="1"/>
    <col min="11268" max="11275" width="10.7109375" style="236" customWidth="1"/>
    <col min="11276" max="11514" width="6.7109375" style="236"/>
    <col min="11515" max="11517" width="10.7109375" style="236" customWidth="1"/>
    <col min="11518" max="11518" width="6.7109375" style="236" customWidth="1"/>
    <col min="11519" max="11522" width="10.7109375" style="236" customWidth="1"/>
    <col min="11523" max="11523" width="3.7109375" style="236" customWidth="1"/>
    <col min="11524" max="11531" width="10.7109375" style="236" customWidth="1"/>
    <col min="11532" max="11770" width="6.7109375" style="236"/>
    <col min="11771" max="11773" width="10.7109375" style="236" customWidth="1"/>
    <col min="11774" max="11774" width="6.7109375" style="236" customWidth="1"/>
    <col min="11775" max="11778" width="10.7109375" style="236" customWidth="1"/>
    <col min="11779" max="11779" width="3.7109375" style="236" customWidth="1"/>
    <col min="11780" max="11787" width="10.7109375" style="236" customWidth="1"/>
    <col min="11788" max="12026" width="6.7109375" style="236"/>
    <col min="12027" max="12029" width="10.7109375" style="236" customWidth="1"/>
    <col min="12030" max="12030" width="6.7109375" style="236" customWidth="1"/>
    <col min="12031" max="12034" width="10.7109375" style="236" customWidth="1"/>
    <col min="12035" max="12035" width="3.7109375" style="236" customWidth="1"/>
    <col min="12036" max="12043" width="10.7109375" style="236" customWidth="1"/>
    <col min="12044" max="12282" width="9.140625" style="236"/>
    <col min="12283" max="12285" width="10.7109375" style="236" customWidth="1"/>
    <col min="12286" max="12286" width="6.7109375" style="236" customWidth="1"/>
    <col min="12287" max="12290" width="10.7109375" style="236" customWidth="1"/>
    <col min="12291" max="12291" width="3.7109375" style="236" customWidth="1"/>
    <col min="12292" max="12299" width="10.7109375" style="236" customWidth="1"/>
    <col min="12300" max="12538" width="6.7109375" style="236"/>
    <col min="12539" max="12541" width="10.7109375" style="236" customWidth="1"/>
    <col min="12542" max="12542" width="6.7109375" style="236" customWidth="1"/>
    <col min="12543" max="12546" width="10.7109375" style="236" customWidth="1"/>
    <col min="12547" max="12547" width="3.7109375" style="236" customWidth="1"/>
    <col min="12548" max="12555" width="10.7109375" style="236" customWidth="1"/>
    <col min="12556" max="12794" width="6.7109375" style="236"/>
    <col min="12795" max="12797" width="10.7109375" style="236" customWidth="1"/>
    <col min="12798" max="12798" width="6.7109375" style="236" customWidth="1"/>
    <col min="12799" max="12802" width="10.7109375" style="236" customWidth="1"/>
    <col min="12803" max="12803" width="3.7109375" style="236" customWidth="1"/>
    <col min="12804" max="12811" width="10.7109375" style="236" customWidth="1"/>
    <col min="12812" max="13050" width="6.7109375" style="236"/>
    <col min="13051" max="13053" width="10.7109375" style="236" customWidth="1"/>
    <col min="13054" max="13054" width="6.7109375" style="236" customWidth="1"/>
    <col min="13055" max="13058" width="10.7109375" style="236" customWidth="1"/>
    <col min="13059" max="13059" width="3.7109375" style="236" customWidth="1"/>
    <col min="13060" max="13067" width="10.7109375" style="236" customWidth="1"/>
    <col min="13068" max="13306" width="9.140625" style="236"/>
    <col min="13307" max="13309" width="10.7109375" style="236" customWidth="1"/>
    <col min="13310" max="13310" width="6.7109375" style="236" customWidth="1"/>
    <col min="13311" max="13314" width="10.7109375" style="236" customWidth="1"/>
    <col min="13315" max="13315" width="3.7109375" style="236" customWidth="1"/>
    <col min="13316" max="13323" width="10.7109375" style="236" customWidth="1"/>
    <col min="13324" max="13562" width="6.7109375" style="236"/>
    <col min="13563" max="13565" width="10.7109375" style="236" customWidth="1"/>
    <col min="13566" max="13566" width="6.7109375" style="236" customWidth="1"/>
    <col min="13567" max="13570" width="10.7109375" style="236" customWidth="1"/>
    <col min="13571" max="13571" width="3.7109375" style="236" customWidth="1"/>
    <col min="13572" max="13579" width="10.7109375" style="236" customWidth="1"/>
    <col min="13580" max="13818" width="6.7109375" style="236"/>
    <col min="13819" max="13821" width="10.7109375" style="236" customWidth="1"/>
    <col min="13822" max="13822" width="6.7109375" style="236" customWidth="1"/>
    <col min="13823" max="13826" width="10.7109375" style="236" customWidth="1"/>
    <col min="13827" max="13827" width="3.7109375" style="236" customWidth="1"/>
    <col min="13828" max="13835" width="10.7109375" style="236" customWidth="1"/>
    <col min="13836" max="14074" width="6.7109375" style="236"/>
    <col min="14075" max="14077" width="10.7109375" style="236" customWidth="1"/>
    <col min="14078" max="14078" width="6.7109375" style="236" customWidth="1"/>
    <col min="14079" max="14082" width="10.7109375" style="236" customWidth="1"/>
    <col min="14083" max="14083" width="3.7109375" style="236" customWidth="1"/>
    <col min="14084" max="14091" width="10.7109375" style="236" customWidth="1"/>
    <col min="14092" max="14330" width="9.140625" style="236"/>
    <col min="14331" max="14333" width="10.7109375" style="236" customWidth="1"/>
    <col min="14334" max="14334" width="6.7109375" style="236" customWidth="1"/>
    <col min="14335" max="14338" width="10.7109375" style="236" customWidth="1"/>
    <col min="14339" max="14339" width="3.7109375" style="236" customWidth="1"/>
    <col min="14340" max="14347" width="10.7109375" style="236" customWidth="1"/>
    <col min="14348" max="14586" width="6.7109375" style="236"/>
    <col min="14587" max="14589" width="10.7109375" style="236" customWidth="1"/>
    <col min="14590" max="14590" width="6.7109375" style="236" customWidth="1"/>
    <col min="14591" max="14594" width="10.7109375" style="236" customWidth="1"/>
    <col min="14595" max="14595" width="3.7109375" style="236" customWidth="1"/>
    <col min="14596" max="14603" width="10.7109375" style="236" customWidth="1"/>
    <col min="14604" max="14842" width="6.7109375" style="236"/>
    <col min="14843" max="14845" width="10.7109375" style="236" customWidth="1"/>
    <col min="14846" max="14846" width="6.7109375" style="236" customWidth="1"/>
    <col min="14847" max="14850" width="10.7109375" style="236" customWidth="1"/>
    <col min="14851" max="14851" width="3.7109375" style="236" customWidth="1"/>
    <col min="14852" max="14859" width="10.7109375" style="236" customWidth="1"/>
    <col min="14860" max="15098" width="6.7109375" style="236"/>
    <col min="15099" max="15101" width="10.7109375" style="236" customWidth="1"/>
    <col min="15102" max="15102" width="6.7109375" style="236" customWidth="1"/>
    <col min="15103" max="15106" width="10.7109375" style="236" customWidth="1"/>
    <col min="15107" max="15107" width="3.7109375" style="236" customWidth="1"/>
    <col min="15108" max="15115" width="10.7109375" style="236" customWidth="1"/>
    <col min="15116" max="15354" width="9.140625" style="236"/>
    <col min="15355" max="15357" width="10.7109375" style="236" customWidth="1"/>
    <col min="15358" max="15358" width="6.7109375" style="236" customWidth="1"/>
    <col min="15359" max="15362" width="10.7109375" style="236" customWidth="1"/>
    <col min="15363" max="15363" width="3.7109375" style="236" customWidth="1"/>
    <col min="15364" max="15371" width="10.7109375" style="236" customWidth="1"/>
    <col min="15372" max="15610" width="6.7109375" style="236"/>
    <col min="15611" max="15613" width="10.7109375" style="236" customWidth="1"/>
    <col min="15614" max="15614" width="6.7109375" style="236" customWidth="1"/>
    <col min="15615" max="15618" width="10.7109375" style="236" customWidth="1"/>
    <col min="15619" max="15619" width="3.7109375" style="236" customWidth="1"/>
    <col min="15620" max="15627" width="10.7109375" style="236" customWidth="1"/>
    <col min="15628" max="15866" width="6.7109375" style="236"/>
    <col min="15867" max="15869" width="10.7109375" style="236" customWidth="1"/>
    <col min="15870" max="15870" width="6.7109375" style="236" customWidth="1"/>
    <col min="15871" max="15874" width="10.7109375" style="236" customWidth="1"/>
    <col min="15875" max="15875" width="3.7109375" style="236" customWidth="1"/>
    <col min="15876" max="15883" width="10.7109375" style="236" customWidth="1"/>
    <col min="15884" max="16122" width="6.7109375" style="236"/>
    <col min="16123" max="16125" width="10.7109375" style="236" customWidth="1"/>
    <col min="16126" max="16126" width="6.7109375" style="236" customWidth="1"/>
    <col min="16127" max="16130" width="10.7109375" style="236" customWidth="1"/>
    <col min="16131" max="16131" width="3.7109375" style="236" customWidth="1"/>
    <col min="16132" max="16139" width="10.7109375" style="236" customWidth="1"/>
    <col min="16140" max="16384" width="9.140625" style="236"/>
  </cols>
  <sheetData>
    <row r="1" spans="2:20" ht="15.75" thickBot="1">
      <c r="B1" s="300" t="s">
        <v>319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488"/>
      <c r="N1" s="488"/>
    </row>
    <row r="2" spans="2:20" s="17" customFormat="1" ht="19.5" customHeight="1" thickTop="1">
      <c r="B2" s="571" t="s">
        <v>149</v>
      </c>
      <c r="C2" s="572"/>
      <c r="D2" s="245" t="s">
        <v>152</v>
      </c>
      <c r="E2" s="244" t="s">
        <v>148</v>
      </c>
      <c r="F2" s="237"/>
      <c r="G2" s="134"/>
      <c r="H2" s="134"/>
      <c r="I2" s="232"/>
      <c r="J2" s="232"/>
      <c r="K2" s="232"/>
      <c r="L2" s="134"/>
      <c r="M2" s="490"/>
      <c r="N2" s="490"/>
      <c r="O2" s="25"/>
      <c r="P2" s="25"/>
      <c r="Q2" s="25"/>
      <c r="R2" s="25"/>
      <c r="S2" s="25"/>
      <c r="T2" s="25"/>
    </row>
    <row r="3" spans="2:20" s="17" customFormat="1" ht="19.5" customHeight="1">
      <c r="B3" s="573"/>
      <c r="C3" s="574"/>
      <c r="D3" s="245" t="s">
        <v>152</v>
      </c>
      <c r="E3" s="244" t="s">
        <v>151</v>
      </c>
      <c r="F3" s="237"/>
      <c r="G3" s="134"/>
      <c r="H3" s="134"/>
      <c r="I3" s="232"/>
      <c r="J3" s="232"/>
      <c r="K3" s="577"/>
      <c r="L3" s="578"/>
      <c r="M3" s="490"/>
      <c r="N3" s="490"/>
      <c r="O3" s="25"/>
      <c r="P3" s="25"/>
      <c r="Q3" s="25"/>
      <c r="R3" s="25"/>
      <c r="S3" s="25"/>
      <c r="T3" s="25"/>
    </row>
    <row r="4" spans="2:20" s="17" customFormat="1" ht="19.5" customHeight="1">
      <c r="B4" s="573"/>
      <c r="C4" s="574"/>
      <c r="D4" s="245" t="s">
        <v>152</v>
      </c>
      <c r="E4" s="244" t="s">
        <v>150</v>
      </c>
      <c r="F4" s="237"/>
      <c r="G4" s="20"/>
      <c r="H4" s="20"/>
      <c r="I4" s="22"/>
      <c r="J4" s="20"/>
      <c r="K4" s="20"/>
      <c r="L4" s="20"/>
      <c r="M4" s="490"/>
      <c r="N4" s="490"/>
      <c r="O4" s="25"/>
      <c r="P4" s="25"/>
      <c r="Q4" s="25"/>
      <c r="R4" s="25"/>
      <c r="S4" s="25"/>
      <c r="T4" s="25"/>
    </row>
    <row r="5" spans="2:20" s="17" customFormat="1" ht="19.5" customHeight="1">
      <c r="B5" s="573"/>
      <c r="C5" s="574"/>
      <c r="D5" s="245" t="s">
        <v>152</v>
      </c>
      <c r="E5" s="244" t="s">
        <v>290</v>
      </c>
      <c r="F5" s="237"/>
      <c r="G5" s="134"/>
      <c r="H5" s="21"/>
      <c r="I5" s="233"/>
      <c r="J5" s="233"/>
      <c r="K5" s="233"/>
      <c r="L5" s="233"/>
      <c r="M5" s="490"/>
      <c r="N5" s="490"/>
      <c r="O5" s="25"/>
      <c r="P5" s="25"/>
      <c r="Q5" s="25"/>
      <c r="R5" s="25"/>
      <c r="S5" s="25"/>
      <c r="T5" s="25"/>
    </row>
    <row r="6" spans="2:20" s="17" customFormat="1" ht="19.5" customHeight="1">
      <c r="B6" s="575" t="s">
        <v>143</v>
      </c>
      <c r="C6" s="576"/>
      <c r="D6" s="245" t="s">
        <v>152</v>
      </c>
      <c r="E6" s="244" t="s">
        <v>205</v>
      </c>
      <c r="F6" s="237"/>
      <c r="G6" s="20"/>
      <c r="H6" s="21"/>
      <c r="I6" s="233"/>
      <c r="J6" s="233"/>
      <c r="K6" s="233"/>
      <c r="L6" s="233"/>
      <c r="M6" s="490"/>
      <c r="N6" s="490"/>
      <c r="O6" s="25"/>
      <c r="P6" s="25"/>
      <c r="Q6" s="25"/>
      <c r="R6" s="25"/>
      <c r="S6" s="25"/>
      <c r="T6" s="25"/>
    </row>
    <row r="7" spans="2:20" s="17" customFormat="1" ht="19.5" customHeight="1">
      <c r="B7" s="230">
        <v>0</v>
      </c>
      <c r="C7" s="240" t="s">
        <v>147</v>
      </c>
      <c r="D7" s="245" t="s">
        <v>152</v>
      </c>
      <c r="E7" s="244" t="s">
        <v>177</v>
      </c>
      <c r="F7" s="237"/>
      <c r="G7" s="24"/>
      <c r="H7" s="21"/>
      <c r="I7" s="233"/>
      <c r="J7" s="233"/>
      <c r="K7" s="233"/>
      <c r="L7" s="233"/>
      <c r="M7" s="490"/>
      <c r="N7" s="490"/>
      <c r="O7" s="25"/>
      <c r="P7" s="25"/>
      <c r="Q7" s="25"/>
      <c r="R7" s="25"/>
      <c r="S7" s="25"/>
      <c r="T7" s="25"/>
    </row>
    <row r="8" spans="2:20" s="17" customFormat="1" ht="19.5" customHeight="1">
      <c r="B8" s="230">
        <v>1</v>
      </c>
      <c r="C8" s="238"/>
      <c r="D8" s="349" t="s">
        <v>152</v>
      </c>
      <c r="E8" s="348" t="s">
        <v>283</v>
      </c>
      <c r="F8" s="233"/>
      <c r="G8" s="233"/>
      <c r="H8" s="233"/>
      <c r="I8" s="233"/>
      <c r="J8" s="233"/>
      <c r="K8" s="550"/>
      <c r="L8" s="551" t="s">
        <v>291</v>
      </c>
      <c r="M8" s="552"/>
      <c r="N8" s="490"/>
      <c r="O8" s="25"/>
      <c r="P8" s="25"/>
      <c r="Q8" s="25"/>
      <c r="R8" s="25"/>
      <c r="S8" s="25"/>
      <c r="T8" s="25"/>
    </row>
    <row r="9" spans="2:20" s="17" customFormat="1" ht="19.5" customHeight="1">
      <c r="B9" s="230">
        <v>2</v>
      </c>
      <c r="C9" s="238"/>
      <c r="D9" s="349" t="s">
        <v>152</v>
      </c>
      <c r="E9" s="555" t="s">
        <v>292</v>
      </c>
      <c r="F9" s="345"/>
      <c r="G9" s="345"/>
      <c r="H9" s="345"/>
      <c r="I9" s="345"/>
      <c r="J9" s="345"/>
      <c r="K9" s="551"/>
      <c r="L9" s="551"/>
      <c r="M9" s="226"/>
      <c r="N9" s="490"/>
      <c r="O9" s="25"/>
      <c r="P9" s="25"/>
      <c r="Q9" s="25"/>
      <c r="R9" s="25"/>
      <c r="S9" s="25"/>
      <c r="T9" s="25"/>
    </row>
    <row r="10" spans="2:20" s="17" customFormat="1" ht="19.5" customHeight="1">
      <c r="B10" s="230">
        <v>3</v>
      </c>
      <c r="C10" s="238"/>
      <c r="D10" s="349"/>
      <c r="E10" s="555"/>
      <c r="F10" s="345"/>
      <c r="G10" s="345"/>
      <c r="H10" s="345"/>
      <c r="I10" s="345"/>
      <c r="J10" s="345"/>
      <c r="K10" s="551"/>
      <c r="L10" s="551"/>
      <c r="M10" s="226"/>
      <c r="N10" s="490"/>
      <c r="O10" s="25"/>
      <c r="P10" s="25"/>
      <c r="Q10" s="25"/>
      <c r="R10" s="25"/>
      <c r="S10" s="25"/>
      <c r="T10" s="25"/>
    </row>
    <row r="11" spans="2:20" s="17" customFormat="1" ht="19.5" customHeight="1" thickBot="1">
      <c r="B11" s="230">
        <v>4</v>
      </c>
      <c r="C11" s="238"/>
      <c r="D11" s="349"/>
      <c r="E11" s="500" t="s">
        <v>222</v>
      </c>
      <c r="F11" s="10"/>
      <c r="G11" s="10"/>
      <c r="H11" s="10"/>
      <c r="I11" s="10"/>
      <c r="J11" s="233"/>
      <c r="K11" s="233"/>
      <c r="L11" s="233"/>
      <c r="M11" s="490"/>
      <c r="N11" s="490"/>
      <c r="O11" s="25"/>
      <c r="P11" s="25"/>
      <c r="Q11" s="25"/>
      <c r="R11" s="25"/>
      <c r="S11" s="25"/>
      <c r="T11" s="25"/>
    </row>
    <row r="12" spans="2:20" s="17" customFormat="1" ht="19.5" customHeight="1" thickTop="1">
      <c r="B12" s="230">
        <v>5</v>
      </c>
      <c r="C12" s="238"/>
      <c r="D12" s="239"/>
      <c r="E12" s="590" t="s">
        <v>21</v>
      </c>
      <c r="F12" s="592" t="s">
        <v>153</v>
      </c>
      <c r="G12" s="592" t="s">
        <v>154</v>
      </c>
      <c r="H12" s="579" t="s">
        <v>215</v>
      </c>
      <c r="I12" s="579" t="s">
        <v>216</v>
      </c>
      <c r="J12" s="581" t="s">
        <v>217</v>
      </c>
      <c r="K12" s="233"/>
      <c r="L12" s="233"/>
      <c r="M12" s="490"/>
      <c r="N12" s="490"/>
      <c r="O12" s="25"/>
      <c r="P12" s="25"/>
      <c r="Q12" s="25"/>
      <c r="R12" s="25"/>
      <c r="S12" s="25"/>
      <c r="T12" s="25"/>
    </row>
    <row r="13" spans="2:20" s="17" customFormat="1" ht="19.5" customHeight="1">
      <c r="B13" s="230">
        <v>6</v>
      </c>
      <c r="C13" s="238"/>
      <c r="D13" s="239"/>
      <c r="E13" s="591"/>
      <c r="F13" s="593"/>
      <c r="G13" s="593"/>
      <c r="H13" s="580"/>
      <c r="I13" s="580"/>
      <c r="J13" s="582"/>
      <c r="K13" s="226"/>
      <c r="L13" s="226"/>
      <c r="M13" s="490"/>
      <c r="N13" s="490"/>
      <c r="O13" s="25"/>
      <c r="P13" s="25"/>
      <c r="Q13" s="25"/>
      <c r="R13" s="25"/>
      <c r="S13" s="25"/>
      <c r="T13" s="25"/>
    </row>
    <row r="14" spans="2:20" s="17" customFormat="1" ht="19.5" customHeight="1" thickBot="1">
      <c r="B14" s="230">
        <v>7</v>
      </c>
      <c r="C14" s="238"/>
      <c r="D14" s="239"/>
      <c r="E14" s="353">
        <f>(F14/E21)</f>
        <v>0</v>
      </c>
      <c r="F14" s="358"/>
      <c r="G14" s="350">
        <f>F14*2.5</f>
        <v>0</v>
      </c>
      <c r="H14" s="360">
        <f>F14*0.119826427</f>
        <v>0</v>
      </c>
      <c r="I14" s="360">
        <f>H14*$E29</f>
        <v>0</v>
      </c>
      <c r="J14" s="361">
        <f>H14*10</f>
        <v>0</v>
      </c>
      <c r="K14" s="227"/>
      <c r="L14" s="234"/>
      <c r="M14" s="490"/>
      <c r="N14" s="490"/>
      <c r="O14" s="25"/>
      <c r="P14" s="25"/>
      <c r="Q14" s="25"/>
      <c r="R14" s="25"/>
      <c r="S14" s="25"/>
      <c r="T14" s="25"/>
    </row>
    <row r="15" spans="2:20" s="17" customFormat="1" ht="19.5" customHeight="1" thickTop="1">
      <c r="B15" s="230">
        <v>8</v>
      </c>
      <c r="C15" s="238"/>
      <c r="D15" s="239"/>
      <c r="E15" s="590" t="s">
        <v>21</v>
      </c>
      <c r="F15" s="592" t="s">
        <v>153</v>
      </c>
      <c r="G15" s="592" t="s">
        <v>154</v>
      </c>
      <c r="H15" s="579" t="s">
        <v>215</v>
      </c>
      <c r="I15" s="579" t="s">
        <v>216</v>
      </c>
      <c r="J15" s="581" t="s">
        <v>217</v>
      </c>
      <c r="K15" s="227"/>
      <c r="L15" s="234"/>
      <c r="M15" s="490"/>
      <c r="N15" s="490"/>
      <c r="O15" s="25"/>
      <c r="P15" s="25"/>
      <c r="Q15" s="25"/>
      <c r="R15" s="25"/>
      <c r="S15" s="25"/>
      <c r="T15" s="25"/>
    </row>
    <row r="16" spans="2:20" s="17" customFormat="1" ht="19.5" customHeight="1">
      <c r="B16" s="230">
        <v>9</v>
      </c>
      <c r="C16" s="238"/>
      <c r="D16" s="239"/>
      <c r="E16" s="591"/>
      <c r="F16" s="593"/>
      <c r="G16" s="593"/>
      <c r="H16" s="580"/>
      <c r="I16" s="580"/>
      <c r="J16" s="582"/>
      <c r="K16" s="227"/>
      <c r="L16" s="234"/>
      <c r="M16" s="490"/>
      <c r="N16" s="490"/>
      <c r="O16" s="25"/>
      <c r="P16" s="25"/>
      <c r="Q16" s="25"/>
      <c r="R16" s="25"/>
      <c r="S16" s="25"/>
      <c r="T16" s="25"/>
    </row>
    <row r="17" spans="1:20" s="17" customFormat="1" ht="19.5" customHeight="1" thickBot="1">
      <c r="B17" s="230">
        <v>10</v>
      </c>
      <c r="C17" s="238"/>
      <c r="D17" s="239"/>
      <c r="E17" s="359"/>
      <c r="F17" s="357">
        <f>(E17*E21)</f>
        <v>0</v>
      </c>
      <c r="G17" s="350">
        <f>F17*2.5</f>
        <v>0</v>
      </c>
      <c r="H17" s="360">
        <f>F17*0.119826427</f>
        <v>0</v>
      </c>
      <c r="I17" s="360">
        <f>H17*$E29</f>
        <v>0</v>
      </c>
      <c r="J17" s="361">
        <f>H17*10</f>
        <v>0</v>
      </c>
      <c r="K17" s="227"/>
      <c r="L17" s="234"/>
      <c r="M17" s="490"/>
      <c r="N17" s="490"/>
      <c r="O17" s="25"/>
      <c r="P17" s="25"/>
      <c r="Q17" s="25"/>
      <c r="R17" s="25"/>
      <c r="S17" s="25"/>
      <c r="T17" s="25"/>
    </row>
    <row r="18" spans="1:20" s="17" customFormat="1" ht="19.5" customHeight="1" thickTop="1">
      <c r="B18" s="230">
        <v>11</v>
      </c>
      <c r="C18" s="238"/>
      <c r="D18" s="239"/>
      <c r="E18" s="241"/>
      <c r="F18" s="241"/>
      <c r="G18" s="241"/>
      <c r="H18" s="241"/>
      <c r="I18" s="241"/>
      <c r="J18" s="241"/>
      <c r="K18" s="241"/>
      <c r="L18" s="241"/>
      <c r="M18" s="490"/>
      <c r="N18" s="490"/>
      <c r="O18" s="25"/>
      <c r="P18" s="25"/>
      <c r="Q18" s="25"/>
      <c r="R18" s="25"/>
      <c r="S18" s="25"/>
      <c r="T18" s="25"/>
    </row>
    <row r="19" spans="1:20" s="17" customFormat="1" ht="19.5" customHeight="1" thickBot="1">
      <c r="B19" s="230">
        <v>12</v>
      </c>
      <c r="C19" s="238"/>
      <c r="D19" s="239"/>
      <c r="E19" s="259" t="s">
        <v>223</v>
      </c>
      <c r="F19" s="259"/>
      <c r="G19" s="259"/>
      <c r="H19" s="259"/>
      <c r="I19" s="259"/>
      <c r="J19" s="259"/>
      <c r="K19" s="367"/>
      <c r="L19" s="228"/>
      <c r="M19" s="490"/>
      <c r="N19" s="490"/>
      <c r="O19" s="25"/>
      <c r="P19" s="25"/>
      <c r="Q19" s="25"/>
      <c r="R19" s="25"/>
      <c r="S19" s="25"/>
      <c r="T19" s="25"/>
    </row>
    <row r="20" spans="1:20" s="17" customFormat="1" ht="19.5" customHeight="1">
      <c r="B20" s="230">
        <v>13</v>
      </c>
      <c r="C20" s="238"/>
      <c r="D20" s="569" t="s">
        <v>220</v>
      </c>
      <c r="E20" s="567"/>
      <c r="F20" s="567"/>
      <c r="G20" s="247"/>
      <c r="H20" s="247"/>
      <c r="I20" s="570" t="s">
        <v>221</v>
      </c>
      <c r="J20" s="570"/>
      <c r="K20" s="570"/>
      <c r="L20" s="570"/>
      <c r="M20" s="490"/>
      <c r="N20" s="490"/>
      <c r="O20" s="25"/>
      <c r="P20" s="25"/>
      <c r="Q20" s="25"/>
      <c r="R20" s="25"/>
      <c r="S20" s="25"/>
      <c r="T20" s="25"/>
    </row>
    <row r="21" spans="1:20" s="17" customFormat="1" ht="19.5" customHeight="1" thickBot="1">
      <c r="B21" s="231">
        <v>14</v>
      </c>
      <c r="C21" s="242" t="s">
        <v>146</v>
      </c>
      <c r="D21" s="239"/>
      <c r="E21" s="368">
        <v>8.3454040000000003</v>
      </c>
      <c r="F21" s="352" t="s">
        <v>144</v>
      </c>
      <c r="G21" s="498">
        <v>3.7854117999999999</v>
      </c>
      <c r="H21" s="499" t="s">
        <v>145</v>
      </c>
      <c r="I21" s="345"/>
      <c r="J21" s="368">
        <v>1</v>
      </c>
      <c r="K21" s="369"/>
      <c r="L21" s="223"/>
      <c r="M21" s="490"/>
      <c r="N21" s="490"/>
      <c r="O21" s="25"/>
      <c r="P21" s="25"/>
      <c r="Q21" s="25"/>
      <c r="R21" s="25"/>
      <c r="S21" s="25"/>
      <c r="T21" s="25"/>
    </row>
    <row r="22" spans="1:20" s="17" customFormat="1" ht="19.5" customHeight="1" thickTop="1">
      <c r="B22" s="556"/>
      <c r="C22" s="556"/>
      <c r="D22" s="10"/>
      <c r="E22" s="233"/>
      <c r="F22" s="233"/>
      <c r="G22" s="233"/>
      <c r="H22" s="233"/>
      <c r="I22" s="233"/>
      <c r="J22" s="233"/>
      <c r="K22" s="347"/>
      <c r="L22" s="241"/>
      <c r="M22" s="490"/>
      <c r="N22" s="490"/>
      <c r="O22" s="25"/>
      <c r="P22" s="25"/>
      <c r="Q22" s="25"/>
      <c r="R22" s="25"/>
      <c r="S22" s="25"/>
      <c r="T22" s="25"/>
    </row>
    <row r="23" spans="1:20" s="17" customFormat="1" ht="19.5" customHeight="1" thickBot="1">
      <c r="B23" s="556"/>
      <c r="C23" s="556"/>
      <c r="D23" s="10"/>
      <c r="E23" s="233"/>
      <c r="F23" s="233"/>
      <c r="G23" s="250"/>
      <c r="H23" s="250"/>
      <c r="I23" s="233"/>
      <c r="J23" s="233"/>
      <c r="K23" s="241"/>
      <c r="L23" s="241"/>
      <c r="M23" s="490"/>
      <c r="N23" s="490"/>
      <c r="O23" s="25"/>
      <c r="P23" s="25"/>
      <c r="Q23" s="25"/>
      <c r="R23" s="25"/>
      <c r="S23" s="25"/>
      <c r="T23" s="25"/>
    </row>
    <row r="24" spans="1:20" s="17" customFormat="1" ht="19.5" customHeight="1" thickTop="1">
      <c r="B24" s="571" t="s">
        <v>175</v>
      </c>
      <c r="C24" s="572"/>
      <c r="D24" s="567" t="s">
        <v>218</v>
      </c>
      <c r="E24" s="567"/>
      <c r="F24" s="568"/>
      <c r="G24" s="565" t="s">
        <v>159</v>
      </c>
      <c r="H24" s="566"/>
      <c r="I24" s="278"/>
      <c r="J24" s="565" t="s">
        <v>159</v>
      </c>
      <c r="K24" s="566"/>
      <c r="L24" s="229"/>
      <c r="M24" s="490"/>
      <c r="N24" s="490"/>
      <c r="O24" s="25"/>
      <c r="P24" s="25"/>
      <c r="Q24" s="25"/>
      <c r="R24" s="25"/>
      <c r="S24" s="25"/>
      <c r="T24" s="25"/>
    </row>
    <row r="25" spans="1:20" s="17" customFormat="1" ht="19.5" customHeight="1">
      <c r="B25" s="573"/>
      <c r="C25" s="574"/>
      <c r="D25" s="10"/>
      <c r="E25" s="497">
        <v>0.453592</v>
      </c>
      <c r="F25" s="496" t="s">
        <v>145</v>
      </c>
      <c r="G25" s="252" t="s">
        <v>160</v>
      </c>
      <c r="H25" s="362" t="s">
        <v>145</v>
      </c>
      <c r="I25" s="233"/>
      <c r="J25" s="252" t="s">
        <v>160</v>
      </c>
      <c r="K25" s="362" t="s">
        <v>145</v>
      </c>
      <c r="L25" s="224"/>
      <c r="M25" s="490"/>
      <c r="N25" s="490"/>
      <c r="O25" s="25"/>
      <c r="P25" s="25"/>
      <c r="Q25" s="25"/>
      <c r="R25" s="25"/>
      <c r="S25" s="25"/>
      <c r="T25" s="25"/>
    </row>
    <row r="26" spans="1:20" s="17" customFormat="1" ht="19.5" customHeight="1" thickBot="1">
      <c r="A26" s="70"/>
      <c r="B26" s="573"/>
      <c r="C26" s="574"/>
      <c r="D26" s="10"/>
      <c r="E26" s="10"/>
      <c r="F26" s="10"/>
      <c r="G26" s="279"/>
      <c r="H26" s="363">
        <f>G26*E25</f>
        <v>0</v>
      </c>
      <c r="I26" s="233"/>
      <c r="J26" s="280">
        <f>K26/E25</f>
        <v>0</v>
      </c>
      <c r="K26" s="281"/>
      <c r="L26" s="225"/>
      <c r="M26" s="490"/>
      <c r="N26" s="490"/>
      <c r="O26" s="25"/>
      <c r="P26" s="25"/>
      <c r="Q26" s="25"/>
      <c r="R26" s="25"/>
      <c r="S26" s="25"/>
      <c r="T26" s="25"/>
    </row>
    <row r="27" spans="1:20" s="17" customFormat="1" ht="19.5" customHeight="1" thickBot="1">
      <c r="A27" s="70"/>
      <c r="B27" s="583"/>
      <c r="C27" s="584"/>
      <c r="D27" s="10"/>
      <c r="E27" s="10"/>
      <c r="F27" s="10"/>
      <c r="G27" s="251"/>
      <c r="H27" s="251"/>
      <c r="I27" s="247"/>
      <c r="J27" s="247"/>
      <c r="K27" s="225"/>
      <c r="L27" s="225"/>
      <c r="M27" s="490"/>
      <c r="N27" s="490"/>
      <c r="O27" s="25"/>
      <c r="P27" s="25"/>
      <c r="Q27" s="25"/>
      <c r="R27" s="25"/>
      <c r="S27" s="25"/>
      <c r="T27" s="25"/>
    </row>
    <row r="28" spans="1:20" s="17" customFormat="1" ht="19.5" customHeight="1">
      <c r="A28" s="70"/>
      <c r="B28" s="256" t="s">
        <v>170</v>
      </c>
      <c r="C28" s="257">
        <v>5</v>
      </c>
      <c r="D28" s="569" t="s">
        <v>219</v>
      </c>
      <c r="E28" s="570"/>
      <c r="F28" s="568"/>
      <c r="G28" s="565" t="s">
        <v>159</v>
      </c>
      <c r="H28" s="566"/>
      <c r="I28" s="282"/>
      <c r="J28" s="565" t="s">
        <v>159</v>
      </c>
      <c r="K28" s="566"/>
      <c r="L28" s="225"/>
      <c r="M28" s="490"/>
      <c r="N28" s="490"/>
      <c r="O28" s="25"/>
      <c r="P28" s="25"/>
      <c r="Q28" s="25"/>
      <c r="R28" s="25"/>
      <c r="S28" s="25"/>
      <c r="T28" s="25"/>
    </row>
    <row r="29" spans="1:20" s="17" customFormat="1" ht="19.5" customHeight="1">
      <c r="A29" s="70"/>
      <c r="B29" s="256" t="s">
        <v>171</v>
      </c>
      <c r="C29" s="257">
        <v>4</v>
      </c>
      <c r="D29" s="243"/>
      <c r="E29" s="497">
        <v>3.7853059999999998</v>
      </c>
      <c r="F29" s="496" t="s">
        <v>158</v>
      </c>
      <c r="G29" s="252" t="s">
        <v>161</v>
      </c>
      <c r="H29" s="362" t="s">
        <v>158</v>
      </c>
      <c r="I29" s="247"/>
      <c r="J29" s="252" t="s">
        <v>161</v>
      </c>
      <c r="K29" s="362" t="s">
        <v>158</v>
      </c>
      <c r="L29" s="225"/>
      <c r="M29" s="490"/>
      <c r="N29" s="490"/>
      <c r="O29" s="25"/>
      <c r="P29" s="25"/>
      <c r="Q29" s="25"/>
      <c r="R29" s="25"/>
      <c r="S29" s="25"/>
      <c r="T29" s="25"/>
    </row>
    <row r="30" spans="1:20" s="17" customFormat="1" ht="19.5" customHeight="1" thickBot="1">
      <c r="A30" s="70"/>
      <c r="B30" s="256" t="s">
        <v>172</v>
      </c>
      <c r="C30" s="257">
        <v>3</v>
      </c>
      <c r="D30" s="235"/>
      <c r="E30" s="246"/>
      <c r="F30" s="246"/>
      <c r="G30" s="279"/>
      <c r="H30" s="363">
        <f>G30*E29</f>
        <v>0</v>
      </c>
      <c r="I30" s="247"/>
      <c r="J30" s="280">
        <f>K30/E29</f>
        <v>0</v>
      </c>
      <c r="K30" s="281"/>
      <c r="L30" s="225"/>
      <c r="M30" s="490"/>
      <c r="N30" s="490"/>
      <c r="O30" s="25"/>
      <c r="P30" s="25"/>
      <c r="Q30" s="25"/>
      <c r="R30" s="25"/>
      <c r="S30" s="25"/>
      <c r="T30" s="25"/>
    </row>
    <row r="31" spans="1:20" ht="19.5" customHeight="1">
      <c r="B31" s="256" t="s">
        <v>173</v>
      </c>
      <c r="C31" s="257">
        <v>2</v>
      </c>
      <c r="D31" s="241"/>
      <c r="E31" s="368"/>
      <c r="F31" s="352"/>
      <c r="G31" s="370"/>
      <c r="H31" s="346"/>
      <c r="I31" s="351"/>
      <c r="J31" s="351"/>
      <c r="K31" s="347"/>
      <c r="L31" s="241"/>
      <c r="M31" s="488"/>
      <c r="N31" s="488"/>
    </row>
    <row r="32" spans="1:20" ht="19.5" customHeight="1" thickBot="1">
      <c r="B32" s="308" t="s">
        <v>174</v>
      </c>
      <c r="C32" s="258">
        <v>1</v>
      </c>
      <c r="D32" s="241"/>
      <c r="E32" s="246" t="s">
        <v>164</v>
      </c>
      <c r="F32" s="246"/>
      <c r="G32" s="248"/>
      <c r="H32" s="248"/>
      <c r="I32" s="351"/>
      <c r="J32" s="246" t="s">
        <v>166</v>
      </c>
      <c r="K32" s="344"/>
      <c r="L32" s="241"/>
      <c r="M32" s="488"/>
      <c r="N32" s="488"/>
    </row>
    <row r="33" spans="2:14" ht="19.5" customHeight="1" thickTop="1" thickBot="1">
      <c r="B33" s="488"/>
      <c r="C33" s="488"/>
      <c r="D33" s="241"/>
      <c r="E33" s="253">
        <v>43560</v>
      </c>
      <c r="F33" s="246" t="s">
        <v>165</v>
      </c>
      <c r="G33" s="495">
        <v>0.40468559999999998</v>
      </c>
      <c r="H33" s="496" t="s">
        <v>162</v>
      </c>
      <c r="I33" s="246"/>
      <c r="J33" s="497">
        <v>92.903040000000004</v>
      </c>
      <c r="K33" s="496" t="s">
        <v>167</v>
      </c>
      <c r="L33" s="241"/>
      <c r="M33" s="488"/>
      <c r="N33" s="488"/>
    </row>
    <row r="34" spans="2:14" ht="19.5" customHeight="1" thickBot="1">
      <c r="B34" s="241"/>
      <c r="C34" s="241"/>
      <c r="D34" s="241"/>
      <c r="E34" s="371"/>
      <c r="F34" s="371"/>
      <c r="G34" s="371"/>
      <c r="H34" s="371"/>
      <c r="I34" s="355"/>
      <c r="J34" s="355"/>
      <c r="K34" s="354"/>
      <c r="L34" s="241"/>
      <c r="M34" s="488"/>
      <c r="N34" s="488"/>
    </row>
    <row r="35" spans="2:14" ht="15">
      <c r="B35" s="241"/>
      <c r="C35" s="241"/>
      <c r="D35" s="241"/>
      <c r="E35" s="587" t="s">
        <v>188</v>
      </c>
      <c r="F35" s="588"/>
      <c r="G35" s="588"/>
      <c r="H35" s="588"/>
      <c r="I35" s="588"/>
      <c r="J35" s="589"/>
      <c r="K35" s="241"/>
      <c r="L35" s="241"/>
      <c r="M35" s="488"/>
      <c r="N35" s="488"/>
    </row>
    <row r="36" spans="2:14" ht="14.25" customHeight="1" thickBot="1">
      <c r="B36" s="488"/>
      <c r="C36" s="488"/>
      <c r="D36" s="488"/>
      <c r="E36" s="486"/>
      <c r="F36" s="487"/>
      <c r="G36" s="72" t="s">
        <v>61</v>
      </c>
      <c r="H36" s="72" t="s">
        <v>44</v>
      </c>
      <c r="I36" s="501" t="s">
        <v>168</v>
      </c>
      <c r="J36" s="502" t="s">
        <v>162</v>
      </c>
      <c r="K36" s="488"/>
      <c r="L36" s="488"/>
      <c r="M36" s="488"/>
      <c r="N36" s="488"/>
    </row>
    <row r="37" spans="2:14" ht="15" customHeight="1" thickBot="1">
      <c r="B37" s="488"/>
      <c r="C37" s="488"/>
      <c r="D37" s="488"/>
      <c r="E37" s="255" t="s">
        <v>56</v>
      </c>
      <c r="F37" s="372"/>
      <c r="G37" s="520" t="s">
        <v>58</v>
      </c>
      <c r="H37" s="254">
        <f>F37/43560</f>
        <v>0</v>
      </c>
      <c r="I37" s="364">
        <f>F37*0.092903</f>
        <v>0</v>
      </c>
      <c r="J37" s="365">
        <f>(F37/43560)*0.4046856</f>
        <v>0</v>
      </c>
      <c r="K37" s="488"/>
      <c r="L37" s="488"/>
      <c r="M37" s="488"/>
      <c r="N37" s="488"/>
    </row>
    <row r="38" spans="2:14" ht="15" thickBot="1">
      <c r="B38" s="488"/>
      <c r="C38" s="488"/>
      <c r="D38" s="488"/>
      <c r="E38" s="255" t="s">
        <v>57</v>
      </c>
      <c r="F38" s="372"/>
      <c r="G38" s="254">
        <f>F38*43560</f>
        <v>0</v>
      </c>
      <c r="H38" s="520" t="s">
        <v>58</v>
      </c>
      <c r="I38" s="364">
        <f>F38*4046.856</f>
        <v>0</v>
      </c>
      <c r="J38" s="365">
        <f>F38*0.4046856</f>
        <v>0</v>
      </c>
      <c r="K38" s="488"/>
      <c r="L38" s="488"/>
      <c r="M38" s="488"/>
      <c r="N38" s="488"/>
    </row>
    <row r="39" spans="2:14" ht="15" thickBot="1">
      <c r="B39" s="488"/>
      <c r="C39" s="488"/>
      <c r="D39" s="488"/>
      <c r="E39" s="553" t="s">
        <v>169</v>
      </c>
      <c r="F39" s="372"/>
      <c r="G39" s="364">
        <f>F39*10.763911</f>
        <v>0</v>
      </c>
      <c r="H39" s="364">
        <f>F39/4046.856</f>
        <v>0</v>
      </c>
      <c r="I39" s="519" t="s">
        <v>58</v>
      </c>
      <c r="J39" s="365">
        <f>(F39/10000)</f>
        <v>0</v>
      </c>
      <c r="K39" s="488"/>
      <c r="L39" s="488"/>
      <c r="M39" s="488"/>
      <c r="N39" s="488"/>
    </row>
    <row r="40" spans="2:14" ht="15" thickBot="1">
      <c r="B40" s="488"/>
      <c r="C40" s="488"/>
      <c r="D40" s="488"/>
      <c r="E40" s="554" t="s">
        <v>163</v>
      </c>
      <c r="F40" s="372"/>
      <c r="G40" s="366">
        <f>F40*107639.11</f>
        <v>0</v>
      </c>
      <c r="H40" s="366">
        <f>F40*2.4710538</f>
        <v>0</v>
      </c>
      <c r="I40" s="366">
        <f>F40*10000</f>
        <v>0</v>
      </c>
      <c r="J40" s="518" t="s">
        <v>58</v>
      </c>
      <c r="K40" s="488"/>
      <c r="L40" s="488"/>
      <c r="M40" s="488"/>
      <c r="N40" s="488"/>
    </row>
    <row r="41" spans="2:14" ht="15" thickBot="1"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</row>
    <row r="42" spans="2:14" ht="15">
      <c r="B42" s="488"/>
      <c r="C42" s="488"/>
      <c r="D42" s="488"/>
      <c r="E42" s="587" t="s">
        <v>266</v>
      </c>
      <c r="F42" s="588"/>
      <c r="G42" s="588"/>
      <c r="H42" s="588"/>
      <c r="I42" s="588"/>
      <c r="J42" s="588"/>
      <c r="K42" s="588"/>
      <c r="L42" s="588"/>
      <c r="M42" s="491"/>
      <c r="N42" s="492"/>
    </row>
    <row r="43" spans="2:14" ht="15.75" thickBot="1">
      <c r="B43" s="488"/>
      <c r="C43" s="488"/>
      <c r="D43" s="488"/>
      <c r="E43" s="486"/>
      <c r="F43" s="487"/>
      <c r="G43" s="503" t="s">
        <v>268</v>
      </c>
      <c r="H43" s="503" t="s">
        <v>269</v>
      </c>
      <c r="I43" s="503" t="s">
        <v>267</v>
      </c>
      <c r="J43" s="503" t="s">
        <v>270</v>
      </c>
      <c r="K43" s="504" t="s">
        <v>279</v>
      </c>
      <c r="L43" s="504" t="s">
        <v>280</v>
      </c>
      <c r="M43" s="504" t="s">
        <v>281</v>
      </c>
      <c r="N43" s="505" t="s">
        <v>282</v>
      </c>
    </row>
    <row r="44" spans="2:14" ht="15" thickBot="1">
      <c r="B44" s="488"/>
      <c r="C44" s="488"/>
      <c r="D44" s="585" t="s">
        <v>284</v>
      </c>
      <c r="E44" s="489" t="s">
        <v>268</v>
      </c>
      <c r="F44" s="506"/>
      <c r="G44" s="513" t="s">
        <v>58</v>
      </c>
      <c r="H44" s="508">
        <f>F44*0.3403125</f>
        <v>0</v>
      </c>
      <c r="I44" s="513" t="s">
        <v>58</v>
      </c>
      <c r="J44" s="513" t="s">
        <v>58</v>
      </c>
      <c r="K44" s="509">
        <f>(F44*0.318326823)</f>
        <v>0</v>
      </c>
      <c r="L44" s="509">
        <f>F44*3.18326823</f>
        <v>0</v>
      </c>
      <c r="M44" s="514" t="s">
        <v>58</v>
      </c>
      <c r="N44" s="516" t="s">
        <v>58</v>
      </c>
    </row>
    <row r="45" spans="2:14" ht="15" thickBot="1">
      <c r="B45" s="488"/>
      <c r="C45" s="488"/>
      <c r="D45" s="585"/>
      <c r="E45" s="489" t="s">
        <v>269</v>
      </c>
      <c r="F45" s="506"/>
      <c r="G45" s="508">
        <f>F45*2.93847567</f>
        <v>0</v>
      </c>
      <c r="H45" s="513" t="s">
        <v>58</v>
      </c>
      <c r="I45" s="513" t="s">
        <v>58</v>
      </c>
      <c r="J45" s="513" t="s">
        <v>58</v>
      </c>
      <c r="K45" s="509">
        <f>F45*0.935395623</f>
        <v>0</v>
      </c>
      <c r="L45" s="509">
        <f>F45* 9.35395623</f>
        <v>0</v>
      </c>
      <c r="M45" s="514" t="s">
        <v>58</v>
      </c>
      <c r="N45" s="516" t="s">
        <v>58</v>
      </c>
    </row>
    <row r="46" spans="2:14" ht="15" thickBot="1">
      <c r="B46" s="488"/>
      <c r="C46" s="488"/>
      <c r="D46" s="585" t="s">
        <v>285</v>
      </c>
      <c r="E46" s="489" t="s">
        <v>267</v>
      </c>
      <c r="F46" s="506"/>
      <c r="G46" s="513" t="s">
        <v>58</v>
      </c>
      <c r="H46" s="513" t="s">
        <v>58</v>
      </c>
      <c r="I46" s="513" t="s">
        <v>58</v>
      </c>
      <c r="J46" s="511">
        <f>F46*43.56</f>
        <v>0</v>
      </c>
      <c r="K46" s="514" t="s">
        <v>58</v>
      </c>
      <c r="L46" s="514" t="s">
        <v>58</v>
      </c>
      <c r="M46" s="509">
        <f>F46*4.88242764</f>
        <v>0</v>
      </c>
      <c r="N46" s="510">
        <f>F46*48.8242764</f>
        <v>0</v>
      </c>
    </row>
    <row r="47" spans="2:14" ht="15" thickBot="1">
      <c r="B47" s="488"/>
      <c r="C47" s="488"/>
      <c r="D47" s="585"/>
      <c r="E47" s="489" t="s">
        <v>270</v>
      </c>
      <c r="F47" s="506"/>
      <c r="G47" s="513" t="s">
        <v>58</v>
      </c>
      <c r="H47" s="513" t="s">
        <v>58</v>
      </c>
      <c r="I47" s="508">
        <f>F47*0.0229568411</f>
        <v>0</v>
      </c>
      <c r="J47" s="513" t="s">
        <v>58</v>
      </c>
      <c r="K47" s="514" t="s">
        <v>58</v>
      </c>
      <c r="L47" s="514" t="s">
        <v>58</v>
      </c>
      <c r="M47" s="509">
        <f>F47*0.112085116</f>
        <v>0</v>
      </c>
      <c r="N47" s="510">
        <f>F47*1.12085116</f>
        <v>0</v>
      </c>
    </row>
    <row r="48" spans="2:14" ht="15" thickBot="1">
      <c r="B48" s="488"/>
      <c r="C48" s="488"/>
      <c r="D48" s="586" t="s">
        <v>284</v>
      </c>
      <c r="E48" s="493" t="s">
        <v>279</v>
      </c>
      <c r="F48" s="507"/>
      <c r="G48" s="509">
        <f>F48/0.318326823</f>
        <v>0</v>
      </c>
      <c r="H48" s="509">
        <f>F48/0.935395623</f>
        <v>0</v>
      </c>
      <c r="I48" s="514" t="s">
        <v>58</v>
      </c>
      <c r="J48" s="514" t="s">
        <v>58</v>
      </c>
      <c r="K48" s="514" t="s">
        <v>58</v>
      </c>
      <c r="L48" s="509">
        <f>F48*10</f>
        <v>0</v>
      </c>
      <c r="M48" s="514" t="s">
        <v>58</v>
      </c>
      <c r="N48" s="516" t="s">
        <v>58</v>
      </c>
    </row>
    <row r="49" spans="2:14" ht="15" thickBot="1">
      <c r="B49" s="488"/>
      <c r="C49" s="488"/>
      <c r="D49" s="586"/>
      <c r="E49" s="493" t="s">
        <v>280</v>
      </c>
      <c r="F49" s="506"/>
      <c r="G49" s="509">
        <f>F49/3.18326823</f>
        <v>0</v>
      </c>
      <c r="H49" s="509">
        <f>F49/9.35395623</f>
        <v>0</v>
      </c>
      <c r="I49" s="514" t="s">
        <v>58</v>
      </c>
      <c r="J49" s="514" t="s">
        <v>58</v>
      </c>
      <c r="K49" s="509">
        <f>F49*0.1</f>
        <v>0</v>
      </c>
      <c r="L49" s="514" t="s">
        <v>58</v>
      </c>
      <c r="M49" s="514" t="s">
        <v>58</v>
      </c>
      <c r="N49" s="516" t="s">
        <v>58</v>
      </c>
    </row>
    <row r="50" spans="2:14" ht="15" thickBot="1">
      <c r="B50" s="488"/>
      <c r="C50" s="488"/>
      <c r="D50" s="586" t="s">
        <v>285</v>
      </c>
      <c r="E50" s="493" t="s">
        <v>281</v>
      </c>
      <c r="F50" s="507"/>
      <c r="G50" s="514" t="s">
        <v>58</v>
      </c>
      <c r="H50" s="514" t="s">
        <v>58</v>
      </c>
      <c r="I50" s="509">
        <f>F50/4.88242764</f>
        <v>0</v>
      </c>
      <c r="J50" s="509">
        <f>F50/0.112085116</f>
        <v>0</v>
      </c>
      <c r="K50" s="514" t="s">
        <v>58</v>
      </c>
      <c r="L50" s="514" t="s">
        <v>58</v>
      </c>
      <c r="M50" s="514" t="s">
        <v>58</v>
      </c>
      <c r="N50" s="510">
        <f>F50*10</f>
        <v>0</v>
      </c>
    </row>
    <row r="51" spans="2:14" ht="15" thickBot="1">
      <c r="B51" s="488"/>
      <c r="C51" s="488"/>
      <c r="D51" s="586"/>
      <c r="E51" s="494" t="s">
        <v>282</v>
      </c>
      <c r="F51" s="506"/>
      <c r="G51" s="515" t="s">
        <v>58</v>
      </c>
      <c r="H51" s="515" t="s">
        <v>58</v>
      </c>
      <c r="I51" s="512">
        <f>F51/48.8242764</f>
        <v>0</v>
      </c>
      <c r="J51" s="512">
        <f>F51/1.12085116</f>
        <v>0</v>
      </c>
      <c r="K51" s="515" t="s">
        <v>58</v>
      </c>
      <c r="L51" s="515" t="s">
        <v>58</v>
      </c>
      <c r="M51" s="512">
        <f>F51*0.1</f>
        <v>0</v>
      </c>
      <c r="N51" s="517" t="s">
        <v>58</v>
      </c>
    </row>
  </sheetData>
  <sheetProtection algorithmName="SHA-512" hashValue="DDcllAMpMVJCXy0Fmh2bzlBDXM4YSGxKTfn0tzdW19u8pIQqWZgeunHPwlQ7+lLqjMSq228DMWSgrYRxneOWlw==" saltValue="5SxDAvFXgu1+mKDN+Jg5dg==" spinCount="100000" sheet="1" objects="1" scenarios="1" selectLockedCells="1"/>
  <mergeCells count="30">
    <mergeCell ref="D44:D45"/>
    <mergeCell ref="D46:D47"/>
    <mergeCell ref="D48:D49"/>
    <mergeCell ref="D50:D51"/>
    <mergeCell ref="I12:I13"/>
    <mergeCell ref="E42:L42"/>
    <mergeCell ref="E35:J35"/>
    <mergeCell ref="J12:J13"/>
    <mergeCell ref="E15:E16"/>
    <mergeCell ref="F15:F16"/>
    <mergeCell ref="H15:H16"/>
    <mergeCell ref="G12:G13"/>
    <mergeCell ref="G15:G16"/>
    <mergeCell ref="E12:E13"/>
    <mergeCell ref="F12:F13"/>
    <mergeCell ref="H12:H13"/>
    <mergeCell ref="B2:C5"/>
    <mergeCell ref="B6:C6"/>
    <mergeCell ref="K3:L3"/>
    <mergeCell ref="I15:I16"/>
    <mergeCell ref="G24:H24"/>
    <mergeCell ref="D20:F20"/>
    <mergeCell ref="I20:L20"/>
    <mergeCell ref="J15:J16"/>
    <mergeCell ref="B24:C27"/>
    <mergeCell ref="G28:H28"/>
    <mergeCell ref="J24:K24"/>
    <mergeCell ref="J28:K28"/>
    <mergeCell ref="D24:F24"/>
    <mergeCell ref="D28:F28"/>
  </mergeCells>
  <conditionalFormatting sqref="B7:B21">
    <cfRule type="colorScale" priority="2">
      <colorScale>
        <cfvo type="num" val="0"/>
        <cfvo type="num" val="7"/>
        <cfvo type="num" val="14"/>
        <color theme="5"/>
        <color theme="0" tint="-0.14999847407452621"/>
        <color theme="4"/>
      </colorScale>
    </cfRule>
  </conditionalFormatting>
  <conditionalFormatting sqref="B28:C32">
    <cfRule type="iconSet" priority="1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dataValidations count="1">
    <dataValidation type="whole" showInputMessage="1" showErrorMessage="1" sqref="L14:L17" xr:uid="{00000000-0002-0000-0000-000000000000}">
      <formula1>1</formula1>
      <formula2>1000</formula2>
    </dataValidation>
  </dataValidations>
  <printOptions horizontalCentered="1"/>
  <pageMargins left="0.3" right="0.3" top="1.23" bottom="0.5" header="0.25" footer="0.25"/>
  <pageSetup scale="60" orientation="portrait" r:id="rId1"/>
  <headerFooter>
    <oddHeader>&amp;L&amp;G&amp;C&amp;"Arial,Bold"&amp;24&amp;A&amp;R&amp;"Arial,Bold"&amp;9page &amp;P of &amp;N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F76"/>
  <sheetViews>
    <sheetView topLeftCell="B1" zoomScale="80" zoomScaleNormal="80" workbookViewId="0">
      <selection activeCell="E1" sqref="E1"/>
    </sheetView>
  </sheetViews>
  <sheetFormatPr defaultColWidth="6.7109375" defaultRowHeight="12.75"/>
  <cols>
    <col min="1" max="1" width="6.5703125" style="1" hidden="1" customWidth="1"/>
    <col min="2" max="2" width="6.7109375" style="1"/>
    <col min="3" max="3" width="40.7109375" style="4" customWidth="1"/>
    <col min="4" max="5" width="9.5703125" style="3" customWidth="1"/>
    <col min="6" max="6" width="9.7109375" style="1" customWidth="1"/>
    <col min="7" max="7" width="12.42578125" style="1" customWidth="1"/>
    <col min="8" max="8" width="9.7109375" style="1" customWidth="1"/>
    <col min="9" max="9" width="11.7109375" style="338" customWidth="1"/>
    <col min="10" max="10" width="9.7109375" style="1" customWidth="1"/>
    <col min="11" max="11" width="6.5703125" style="3" customWidth="1"/>
    <col min="12" max="13" width="10.28515625" style="1" customWidth="1"/>
    <col min="14" max="14" width="10.28515625" style="302" hidden="1" customWidth="1"/>
    <col min="15" max="15" width="10.28515625" style="1" customWidth="1"/>
    <col min="16" max="16" width="10.28515625" style="302" hidden="1" customWidth="1"/>
    <col min="17" max="28" width="10.28515625" style="1" customWidth="1"/>
    <col min="29" max="29" width="10.28515625" style="302" hidden="1" customWidth="1"/>
    <col min="30" max="16384" width="6.7109375" style="1"/>
  </cols>
  <sheetData>
    <row r="1" spans="1:32" ht="20.25" customHeight="1" thickBot="1">
      <c r="B1" s="285" t="str">
        <f>VERSION</f>
        <v>version #BRANDT-X02-</v>
      </c>
      <c r="C1" s="261"/>
      <c r="D1" s="179" t="s">
        <v>124</v>
      </c>
      <c r="E1" s="262">
        <v>1</v>
      </c>
      <c r="F1" s="263" t="s">
        <v>121</v>
      </c>
      <c r="G1" s="10"/>
      <c r="H1" s="10"/>
      <c r="I1" s="340"/>
      <c r="J1" s="10"/>
      <c r="K1" s="69"/>
      <c r="L1" s="594" t="s">
        <v>108</v>
      </c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6"/>
      <c r="AC1" s="1"/>
    </row>
    <row r="2" spans="1:32" s="2" customFormat="1" ht="39.950000000000003" customHeight="1" thickBot="1">
      <c r="A2" s="9" t="s">
        <v>42</v>
      </c>
      <c r="B2" s="5" t="s">
        <v>16</v>
      </c>
      <c r="C2" s="112" t="s">
        <v>70</v>
      </c>
      <c r="D2" s="301" t="s">
        <v>208</v>
      </c>
      <c r="E2" s="5" t="s">
        <v>21</v>
      </c>
      <c r="F2" s="5" t="s">
        <v>214</v>
      </c>
      <c r="G2" s="5" t="s">
        <v>224</v>
      </c>
      <c r="H2" s="373" t="s">
        <v>206</v>
      </c>
      <c r="I2" s="373" t="s">
        <v>226</v>
      </c>
      <c r="J2" s="373" t="s">
        <v>207</v>
      </c>
      <c r="K2" s="5" t="s">
        <v>14</v>
      </c>
      <c r="L2" s="6" t="s">
        <v>212</v>
      </c>
      <c r="M2" s="6" t="s">
        <v>209</v>
      </c>
      <c r="N2" s="310" t="s">
        <v>227</v>
      </c>
      <c r="O2" s="6" t="s">
        <v>210</v>
      </c>
      <c r="P2" s="311" t="s">
        <v>228</v>
      </c>
      <c r="Q2" s="6" t="s">
        <v>3</v>
      </c>
      <c r="R2" s="6" t="s">
        <v>4</v>
      </c>
      <c r="S2" s="6" t="s">
        <v>5</v>
      </c>
      <c r="T2" s="6" t="s">
        <v>8</v>
      </c>
      <c r="U2" s="6" t="s">
        <v>9</v>
      </c>
      <c r="V2" s="6" t="s">
        <v>10</v>
      </c>
      <c r="W2" s="6" t="s">
        <v>7</v>
      </c>
      <c r="X2" s="6" t="s">
        <v>6</v>
      </c>
      <c r="Y2" s="6" t="s">
        <v>11</v>
      </c>
      <c r="Z2" s="6" t="s">
        <v>12</v>
      </c>
      <c r="AA2" s="6" t="s">
        <v>13</v>
      </c>
      <c r="AB2" s="6" t="s">
        <v>15</v>
      </c>
      <c r="AC2" s="310" t="s">
        <v>211</v>
      </c>
      <c r="AD2" s="1"/>
      <c r="AE2" s="1"/>
      <c r="AF2" s="1"/>
    </row>
    <row r="3" spans="1:32" s="2" customFormat="1" ht="26.1" customHeight="1">
      <c r="A3" s="8">
        <v>1</v>
      </c>
      <c r="B3" s="7" t="s">
        <v>19</v>
      </c>
      <c r="C3" s="29" t="s">
        <v>298</v>
      </c>
      <c r="D3" s="40">
        <v>30</v>
      </c>
      <c r="E3" s="287">
        <v>1.2462</v>
      </c>
      <c r="F3" s="288">
        <f t="shared" ref="F3:F33" si="0">E3*8.345404</f>
        <v>10.4000424648</v>
      </c>
      <c r="G3" s="289">
        <f>F3*2.5</f>
        <v>26.000106162000002</v>
      </c>
      <c r="H3" s="376">
        <f>(F3*0.119826427)</f>
        <v>1.2461999292052572</v>
      </c>
      <c r="I3" s="376">
        <f>H3*3.785306</f>
        <v>4.7172480692202354</v>
      </c>
      <c r="J3" s="374">
        <f>H3*10</f>
        <v>12.461999292052573</v>
      </c>
      <c r="K3" s="290"/>
      <c r="L3" s="291">
        <v>0.05</v>
      </c>
      <c r="M3" s="292">
        <v>0</v>
      </c>
      <c r="N3" s="292">
        <v>0</v>
      </c>
      <c r="O3" s="292">
        <v>0</v>
      </c>
      <c r="P3" s="292">
        <v>0</v>
      </c>
      <c r="Q3" s="292">
        <v>0</v>
      </c>
      <c r="R3" s="292">
        <v>1.2E-2</v>
      </c>
      <c r="S3" s="292">
        <v>0</v>
      </c>
      <c r="T3" s="292">
        <v>2.8500000000000001E-2</v>
      </c>
      <c r="U3" s="292">
        <v>4.4999999999999997E-3</v>
      </c>
      <c r="V3" s="292">
        <v>6.4999999999999997E-3</v>
      </c>
      <c r="W3" s="292">
        <v>0</v>
      </c>
      <c r="X3" s="292">
        <v>0</v>
      </c>
      <c r="Y3" s="292">
        <v>0</v>
      </c>
      <c r="Z3" s="292">
        <v>0</v>
      </c>
      <c r="AA3" s="292">
        <v>0</v>
      </c>
      <c r="AB3" s="293">
        <v>0</v>
      </c>
      <c r="AC3" s="315">
        <f>AB3*0.37775</f>
        <v>0</v>
      </c>
      <c r="AD3" s="1"/>
      <c r="AE3" s="1"/>
      <c r="AF3" s="1"/>
    </row>
    <row r="4" spans="1:32" s="2" customFormat="1" ht="19.5" hidden="1" customHeight="1">
      <c r="A4" s="8">
        <v>2</v>
      </c>
      <c r="B4" s="7" t="s">
        <v>190</v>
      </c>
      <c r="C4" s="59" t="s">
        <v>193</v>
      </c>
      <c r="D4" s="60"/>
      <c r="E4" s="64">
        <v>1.2678</v>
      </c>
      <c r="F4" s="67">
        <f>E4*8.345404</f>
        <v>10.580303191200001</v>
      </c>
      <c r="G4" s="35">
        <f>F4*2.5</f>
        <v>26.450757978000002</v>
      </c>
      <c r="H4" s="375">
        <f>E4*3.7854118</f>
        <v>4.7991450800399997</v>
      </c>
      <c r="I4" s="375"/>
      <c r="J4" s="375">
        <f>E4*(2.5*3.7854118)</f>
        <v>11.997862700100001</v>
      </c>
      <c r="K4" s="36"/>
      <c r="L4" s="39">
        <v>0.04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8">
        <v>0</v>
      </c>
      <c r="AC4" s="313">
        <v>0</v>
      </c>
      <c r="AD4" s="1"/>
      <c r="AE4" s="1"/>
      <c r="AF4" s="1"/>
    </row>
    <row r="5" spans="1:32" s="2" customFormat="1" ht="26.1" customHeight="1">
      <c r="A5" s="8">
        <v>3</v>
      </c>
      <c r="B5" s="7">
        <v>215</v>
      </c>
      <c r="C5" s="34" t="s">
        <v>299</v>
      </c>
      <c r="D5" s="41">
        <v>28</v>
      </c>
      <c r="E5" s="63">
        <v>1.222</v>
      </c>
      <c r="F5" s="67">
        <f t="shared" si="0"/>
        <v>10.198083688000001</v>
      </c>
      <c r="G5" s="35">
        <f>F5*2.5</f>
        <v>25.49520922</v>
      </c>
      <c r="H5" s="377">
        <f t="shared" ref="H5:H33" si="1">(F5*0.119826427)</f>
        <v>1.2219999305800229</v>
      </c>
      <c r="I5" s="397">
        <f>H5*3.785306</f>
        <v>4.6256436692241438</v>
      </c>
      <c r="J5" s="377">
        <f>H5*10</f>
        <v>12.219999305800229</v>
      </c>
      <c r="K5" s="36"/>
      <c r="L5" s="39">
        <v>0.04</v>
      </c>
      <c r="M5" s="37">
        <v>0</v>
      </c>
      <c r="N5" s="37">
        <v>0</v>
      </c>
      <c r="O5" s="37">
        <v>0.02</v>
      </c>
      <c r="P5" s="37">
        <v>0</v>
      </c>
      <c r="Q5" s="37">
        <v>0</v>
      </c>
      <c r="R5" s="37">
        <v>5.0000000000000001E-3</v>
      </c>
      <c r="S5" s="37">
        <v>0</v>
      </c>
      <c r="T5" s="37">
        <v>0.02</v>
      </c>
      <c r="U5" s="37">
        <v>5.0000000000000001E-3</v>
      </c>
      <c r="V5" s="37">
        <v>0</v>
      </c>
      <c r="W5" s="37">
        <v>5.0000000000000001E-3</v>
      </c>
      <c r="X5" s="37">
        <v>2.5000000000000001E-3</v>
      </c>
      <c r="Y5" s="37">
        <v>0</v>
      </c>
      <c r="Z5" s="37">
        <v>2.5000000000000001E-3</v>
      </c>
      <c r="AA5" s="37">
        <v>0</v>
      </c>
      <c r="AB5" s="38">
        <v>0</v>
      </c>
      <c r="AC5" s="314">
        <f>AB5*0.37775</f>
        <v>0</v>
      </c>
    </row>
    <row r="6" spans="1:32" s="2" customFormat="1" ht="26.1" hidden="1" customHeight="1">
      <c r="A6" s="8">
        <v>4</v>
      </c>
      <c r="B6" s="7" t="s">
        <v>195</v>
      </c>
      <c r="C6" s="34"/>
      <c r="D6" s="41"/>
      <c r="E6" s="63"/>
      <c r="F6" s="67">
        <f t="shared" ref="F6:F11" si="2">E6*8.345404</f>
        <v>0</v>
      </c>
      <c r="G6" s="35">
        <f t="shared" ref="G6:G11" si="3">F6*2.5</f>
        <v>0</v>
      </c>
      <c r="H6" s="377">
        <f t="shared" si="1"/>
        <v>0</v>
      </c>
      <c r="I6" s="377"/>
      <c r="J6" s="377">
        <f>E6*(2.5*3.7854118)</f>
        <v>0</v>
      </c>
      <c r="K6" s="36"/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8">
        <v>0</v>
      </c>
      <c r="AC6" s="314">
        <v>0</v>
      </c>
    </row>
    <row r="7" spans="1:32" s="2" customFormat="1" ht="26.1" customHeight="1">
      <c r="A7" s="8">
        <v>5</v>
      </c>
      <c r="B7" s="7" t="s">
        <v>22</v>
      </c>
      <c r="C7" s="34" t="s">
        <v>300</v>
      </c>
      <c r="D7" s="41">
        <v>30</v>
      </c>
      <c r="E7" s="64">
        <v>1.3660000000000001</v>
      </c>
      <c r="F7" s="67">
        <f t="shared" si="2"/>
        <v>11.399821864000002</v>
      </c>
      <c r="G7" s="35">
        <f t="shared" si="3"/>
        <v>28.499554660000005</v>
      </c>
      <c r="H7" s="377">
        <f t="shared" si="1"/>
        <v>1.3659999223996</v>
      </c>
      <c r="I7" s="397">
        <f t="shared" ref="I7:I49" si="4">H7*3.785306</f>
        <v>5.1707277022587403</v>
      </c>
      <c r="J7" s="377">
        <f t="shared" ref="J7:J33" si="5">H7*10</f>
        <v>13.659999223996</v>
      </c>
      <c r="K7" s="36"/>
      <c r="L7" s="39">
        <v>7.0000000000000007E-2</v>
      </c>
      <c r="M7" s="37">
        <v>0</v>
      </c>
      <c r="N7" s="37">
        <v>0</v>
      </c>
      <c r="O7" s="37">
        <v>0.14000000000000001</v>
      </c>
      <c r="P7" s="37">
        <v>0</v>
      </c>
      <c r="Q7" s="37">
        <v>0</v>
      </c>
      <c r="R7" s="37">
        <v>0</v>
      </c>
      <c r="S7" s="37">
        <v>0</v>
      </c>
      <c r="T7" s="37">
        <v>5.0000000000000001E-3</v>
      </c>
      <c r="U7" s="37">
        <v>2.5000000000000001E-3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8">
        <v>0</v>
      </c>
      <c r="AC7" s="314">
        <f t="shared" ref="AC7:AC35" si="6">AB7*0.37775</f>
        <v>0</v>
      </c>
    </row>
    <row r="8" spans="1:32" s="2" customFormat="1" ht="26.1" hidden="1" customHeight="1">
      <c r="A8" s="8">
        <v>6</v>
      </c>
      <c r="B8" s="7" t="s">
        <v>196</v>
      </c>
      <c r="C8" s="34"/>
      <c r="D8" s="41"/>
      <c r="E8" s="64"/>
      <c r="F8" s="67">
        <f t="shared" si="2"/>
        <v>0</v>
      </c>
      <c r="G8" s="35">
        <f t="shared" si="3"/>
        <v>0</v>
      </c>
      <c r="H8" s="377">
        <f t="shared" si="1"/>
        <v>0</v>
      </c>
      <c r="I8" s="397">
        <f t="shared" si="4"/>
        <v>0</v>
      </c>
      <c r="J8" s="377">
        <f t="shared" si="5"/>
        <v>0</v>
      </c>
      <c r="K8" s="36"/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8">
        <v>0</v>
      </c>
      <c r="AC8" s="314">
        <f t="shared" si="6"/>
        <v>0</v>
      </c>
    </row>
    <row r="9" spans="1:32" s="2" customFormat="1" ht="26.1" hidden="1" customHeight="1">
      <c r="A9" s="8">
        <v>7</v>
      </c>
      <c r="B9" s="7"/>
      <c r="C9" s="34"/>
      <c r="D9" s="41"/>
      <c r="E9" s="64"/>
      <c r="F9" s="67">
        <f t="shared" si="2"/>
        <v>0</v>
      </c>
      <c r="G9" s="35">
        <f t="shared" si="3"/>
        <v>0</v>
      </c>
      <c r="H9" s="377">
        <f t="shared" si="1"/>
        <v>0</v>
      </c>
      <c r="I9" s="397">
        <f t="shared" si="4"/>
        <v>0</v>
      </c>
      <c r="J9" s="377">
        <f t="shared" si="5"/>
        <v>0</v>
      </c>
      <c r="K9" s="36"/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8">
        <v>0</v>
      </c>
      <c r="AC9" s="314">
        <f t="shared" si="6"/>
        <v>0</v>
      </c>
    </row>
    <row r="10" spans="1:32" s="2" customFormat="1" ht="26.1" customHeight="1">
      <c r="A10" s="8">
        <v>8</v>
      </c>
      <c r="B10" s="7" t="s">
        <v>20</v>
      </c>
      <c r="C10" s="34" t="s">
        <v>301</v>
      </c>
      <c r="D10" s="41">
        <v>28</v>
      </c>
      <c r="E10" s="64"/>
      <c r="F10" s="67">
        <f t="shared" si="2"/>
        <v>0</v>
      </c>
      <c r="G10" s="35">
        <f t="shared" si="3"/>
        <v>0</v>
      </c>
      <c r="H10" s="377">
        <f t="shared" si="1"/>
        <v>0</v>
      </c>
      <c r="I10" s="397">
        <f t="shared" si="4"/>
        <v>0</v>
      </c>
      <c r="J10" s="377">
        <f t="shared" si="5"/>
        <v>0</v>
      </c>
      <c r="K10" s="36"/>
      <c r="L10" s="39">
        <v>0.03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5.0000000000000001E-3</v>
      </c>
      <c r="S10" s="37">
        <v>0</v>
      </c>
      <c r="T10" s="37">
        <v>0</v>
      </c>
      <c r="U10" s="37">
        <v>8.9999999999999993E-3</v>
      </c>
      <c r="V10" s="37">
        <v>4.7E-2</v>
      </c>
      <c r="W10" s="37">
        <v>5.0000000000000001E-4</v>
      </c>
      <c r="X10" s="37">
        <v>2E-3</v>
      </c>
      <c r="Y10" s="37">
        <v>0</v>
      </c>
      <c r="Z10" s="37">
        <v>0</v>
      </c>
      <c r="AA10" s="37">
        <v>0</v>
      </c>
      <c r="AB10" s="38">
        <v>0</v>
      </c>
      <c r="AC10" s="314">
        <f t="shared" si="6"/>
        <v>0</v>
      </c>
    </row>
    <row r="11" spans="1:32" s="2" customFormat="1" ht="26.1" hidden="1" customHeight="1">
      <c r="A11" s="8">
        <v>9</v>
      </c>
      <c r="B11" s="7"/>
      <c r="C11" s="34"/>
      <c r="D11" s="41"/>
      <c r="E11" s="64"/>
      <c r="F11" s="67">
        <f t="shared" si="2"/>
        <v>0</v>
      </c>
      <c r="G11" s="35">
        <f t="shared" si="3"/>
        <v>0</v>
      </c>
      <c r="H11" s="377">
        <f t="shared" si="1"/>
        <v>0</v>
      </c>
      <c r="I11" s="397">
        <f t="shared" si="4"/>
        <v>0</v>
      </c>
      <c r="J11" s="377">
        <f t="shared" si="5"/>
        <v>0</v>
      </c>
      <c r="K11" s="36"/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14">
        <f t="shared" si="6"/>
        <v>0</v>
      </c>
    </row>
    <row r="12" spans="1:32" s="2" customFormat="1" ht="26.1" customHeight="1">
      <c r="A12" s="8">
        <v>10</v>
      </c>
      <c r="B12" s="7" t="s">
        <v>189</v>
      </c>
      <c r="C12" s="34" t="s">
        <v>302</v>
      </c>
      <c r="D12" s="41">
        <v>28</v>
      </c>
      <c r="E12" s="64">
        <v>1.198</v>
      </c>
      <c r="F12" s="67">
        <f t="shared" si="0"/>
        <v>9.9977939920000001</v>
      </c>
      <c r="G12" s="35">
        <f t="shared" ref="G12:G49" si="7">F12*2.5</f>
        <v>24.994484979999999</v>
      </c>
      <c r="H12" s="377">
        <f t="shared" si="1"/>
        <v>1.1979999319434267</v>
      </c>
      <c r="I12" s="397">
        <f t="shared" si="4"/>
        <v>4.5347963303850447</v>
      </c>
      <c r="J12" s="377">
        <f t="shared" si="5"/>
        <v>11.979999319434267</v>
      </c>
      <c r="K12" s="36"/>
      <c r="L12" s="39">
        <v>0.12</v>
      </c>
      <c r="M12" s="37">
        <v>0</v>
      </c>
      <c r="N12" s="37">
        <v>0</v>
      </c>
      <c r="O12" s="37">
        <v>0.06</v>
      </c>
      <c r="P12" s="37">
        <v>0</v>
      </c>
      <c r="Q12" s="37">
        <v>0</v>
      </c>
      <c r="R12" s="37">
        <v>0</v>
      </c>
      <c r="S12" s="37">
        <v>0</v>
      </c>
      <c r="T12" s="37">
        <v>5.0000000000000001E-3</v>
      </c>
      <c r="U12" s="37">
        <v>2.5000000000000001E-3</v>
      </c>
      <c r="V12" s="37">
        <v>0</v>
      </c>
      <c r="W12" s="37">
        <v>2.5000000000000001E-3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14">
        <f t="shared" si="6"/>
        <v>0</v>
      </c>
    </row>
    <row r="13" spans="1:32" s="2" customFormat="1" ht="26.1" customHeight="1">
      <c r="A13" s="8">
        <v>11</v>
      </c>
      <c r="B13" s="7" t="s">
        <v>18</v>
      </c>
      <c r="C13" s="34" t="s">
        <v>303</v>
      </c>
      <c r="D13" s="41">
        <v>21.34</v>
      </c>
      <c r="E13" s="64">
        <v>1.4379999999999999</v>
      </c>
      <c r="F13" s="67">
        <f t="shared" si="0"/>
        <v>12.000690951999999</v>
      </c>
      <c r="G13" s="35">
        <f t="shared" si="7"/>
        <v>30.001727379999998</v>
      </c>
      <c r="H13" s="377">
        <f t="shared" si="1"/>
        <v>1.4379999183093883</v>
      </c>
      <c r="I13" s="397">
        <f t="shared" si="4"/>
        <v>5.4432697187760377</v>
      </c>
      <c r="J13" s="377">
        <f t="shared" si="5"/>
        <v>14.379999183093883</v>
      </c>
      <c r="K13" s="36"/>
      <c r="L13" s="39">
        <v>0.05</v>
      </c>
      <c r="M13" s="37">
        <v>0</v>
      </c>
      <c r="N13" s="37">
        <v>0</v>
      </c>
      <c r="O13" s="37">
        <v>0</v>
      </c>
      <c r="P13" s="37">
        <v>0</v>
      </c>
      <c r="Q13" s="37">
        <v>0.1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314">
        <f t="shared" si="6"/>
        <v>0</v>
      </c>
    </row>
    <row r="14" spans="1:32" s="2" customFormat="1" ht="26.1" customHeight="1">
      <c r="A14" s="8">
        <v>12</v>
      </c>
      <c r="B14" s="7" t="s">
        <v>17</v>
      </c>
      <c r="C14" s="34" t="s">
        <v>304</v>
      </c>
      <c r="D14" s="41">
        <v>23.82</v>
      </c>
      <c r="E14" s="64">
        <v>1.3180000000000001</v>
      </c>
      <c r="F14" s="67">
        <f t="shared" si="0"/>
        <v>10.999242472000001</v>
      </c>
      <c r="G14" s="35">
        <f t="shared" si="7"/>
        <v>27.498106180000001</v>
      </c>
      <c r="H14" s="377">
        <f t="shared" si="1"/>
        <v>1.3179999251264076</v>
      </c>
      <c r="I14" s="397">
        <f t="shared" si="4"/>
        <v>4.9890330245805412</v>
      </c>
      <c r="J14" s="377">
        <f t="shared" si="5"/>
        <v>13.179999251264077</v>
      </c>
      <c r="K14" s="36"/>
      <c r="L14" s="39">
        <v>0</v>
      </c>
      <c r="M14" s="37">
        <v>0</v>
      </c>
      <c r="N14" s="37">
        <v>0</v>
      </c>
      <c r="O14" s="37">
        <v>0.2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  <c r="AC14" s="314">
        <f t="shared" si="6"/>
        <v>0</v>
      </c>
    </row>
    <row r="15" spans="1:32" s="2" customFormat="1" ht="25.5" customHeight="1">
      <c r="A15" s="8">
        <v>13</v>
      </c>
      <c r="B15" s="7" t="s">
        <v>23</v>
      </c>
      <c r="C15" s="34" t="s">
        <v>305</v>
      </c>
      <c r="D15" s="41">
        <v>29.2</v>
      </c>
      <c r="E15" s="64">
        <v>1.0780000000000001</v>
      </c>
      <c r="F15" s="67">
        <f t="shared" si="0"/>
        <v>8.9963455120000013</v>
      </c>
      <c r="G15" s="35">
        <f t="shared" si="7"/>
        <v>22.490863780000005</v>
      </c>
      <c r="H15" s="377">
        <f t="shared" si="1"/>
        <v>1.0779999387604458</v>
      </c>
      <c r="I15" s="397">
        <f t="shared" si="4"/>
        <v>4.0805596361895473</v>
      </c>
      <c r="J15" s="377">
        <f t="shared" si="5"/>
        <v>10.779999387604457</v>
      </c>
      <c r="K15" s="36"/>
      <c r="L15" s="39">
        <v>0</v>
      </c>
      <c r="M15" s="37">
        <v>0</v>
      </c>
      <c r="N15" s="37">
        <v>0</v>
      </c>
      <c r="O15" s="37">
        <v>0.06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0.05</v>
      </c>
      <c r="Z15" s="37">
        <v>0</v>
      </c>
      <c r="AA15" s="37">
        <v>0</v>
      </c>
      <c r="AB15" s="38">
        <v>0</v>
      </c>
      <c r="AC15" s="314">
        <f t="shared" si="6"/>
        <v>0</v>
      </c>
    </row>
    <row r="16" spans="1:32" s="2" customFormat="1" ht="18.75" hidden="1" customHeight="1">
      <c r="A16" s="8">
        <v>14</v>
      </c>
      <c r="B16" s="7" t="s">
        <v>24</v>
      </c>
      <c r="C16" s="34"/>
      <c r="D16" s="41"/>
      <c r="E16" s="64"/>
      <c r="F16" s="67">
        <f t="shared" si="0"/>
        <v>0</v>
      </c>
      <c r="G16" s="35">
        <f t="shared" si="7"/>
        <v>0</v>
      </c>
      <c r="H16" s="377">
        <f t="shared" si="1"/>
        <v>0</v>
      </c>
      <c r="I16" s="397">
        <f t="shared" si="4"/>
        <v>0</v>
      </c>
      <c r="J16" s="377">
        <f t="shared" si="5"/>
        <v>0</v>
      </c>
      <c r="K16" s="36"/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  <c r="AC16" s="314">
        <f t="shared" si="6"/>
        <v>0</v>
      </c>
    </row>
    <row r="17" spans="1:29" s="2" customFormat="1" ht="26.1" customHeight="1">
      <c r="A17" s="8">
        <v>15</v>
      </c>
      <c r="B17" s="7" t="s">
        <v>25</v>
      </c>
      <c r="C17" s="34" t="s">
        <v>306</v>
      </c>
      <c r="D17" s="41">
        <v>18</v>
      </c>
      <c r="E17" s="64">
        <v>1.21</v>
      </c>
      <c r="F17" s="67">
        <f t="shared" si="0"/>
        <v>10.097938839999999</v>
      </c>
      <c r="G17" s="35">
        <f t="shared" si="7"/>
        <v>25.244847099999998</v>
      </c>
      <c r="H17" s="377">
        <f t="shared" si="1"/>
        <v>1.2099999312617247</v>
      </c>
      <c r="I17" s="397">
        <f t="shared" si="4"/>
        <v>4.5802199998045934</v>
      </c>
      <c r="J17" s="377">
        <f t="shared" si="5"/>
        <v>12.099999312617246</v>
      </c>
      <c r="K17" s="36"/>
      <c r="L17" s="39">
        <v>0.05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0.05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  <c r="AC17" s="314">
        <f t="shared" si="6"/>
        <v>0</v>
      </c>
    </row>
    <row r="18" spans="1:29" s="2" customFormat="1" ht="26.1" customHeight="1">
      <c r="A18" s="8">
        <v>16</v>
      </c>
      <c r="B18" s="7" t="s">
        <v>32</v>
      </c>
      <c r="C18" s="34" t="s">
        <v>307</v>
      </c>
      <c r="D18" s="41">
        <v>18.72</v>
      </c>
      <c r="E18" s="64">
        <v>1.258</v>
      </c>
      <c r="F18" s="67">
        <f t="shared" si="0"/>
        <v>10.498518232</v>
      </c>
      <c r="G18" s="35">
        <f t="shared" si="7"/>
        <v>26.246295580000002</v>
      </c>
      <c r="H18" s="377">
        <f t="shared" si="1"/>
        <v>1.257999928534917</v>
      </c>
      <c r="I18" s="397">
        <f t="shared" si="4"/>
        <v>4.7619146774827925</v>
      </c>
      <c r="J18" s="377">
        <f t="shared" si="5"/>
        <v>12.579999285349171</v>
      </c>
      <c r="K18" s="36"/>
      <c r="L18" s="39">
        <v>0.05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0.04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  <c r="AC18" s="314">
        <f t="shared" si="6"/>
        <v>0</v>
      </c>
    </row>
    <row r="19" spans="1:29" s="2" customFormat="1" ht="26.1" customHeight="1">
      <c r="A19" s="8">
        <v>17</v>
      </c>
      <c r="B19" s="7" t="s">
        <v>33</v>
      </c>
      <c r="C19" s="34" t="s">
        <v>308</v>
      </c>
      <c r="D19" s="41">
        <v>19.86</v>
      </c>
      <c r="E19" s="64">
        <v>1.198</v>
      </c>
      <c r="F19" s="67">
        <f t="shared" si="0"/>
        <v>9.9977939920000001</v>
      </c>
      <c r="G19" s="35">
        <f t="shared" si="7"/>
        <v>24.994484979999999</v>
      </c>
      <c r="H19" s="377">
        <f t="shared" si="1"/>
        <v>1.1979999319434267</v>
      </c>
      <c r="I19" s="397">
        <f t="shared" si="4"/>
        <v>4.5347963303850447</v>
      </c>
      <c r="J19" s="377">
        <f t="shared" si="5"/>
        <v>11.979999319434267</v>
      </c>
      <c r="K19" s="36"/>
      <c r="L19" s="39">
        <v>7.0000000000000007E-2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0.05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  <c r="AC19" s="314">
        <f t="shared" si="6"/>
        <v>0</v>
      </c>
    </row>
    <row r="20" spans="1:29" s="2" customFormat="1" ht="26.1" customHeight="1">
      <c r="A20" s="8">
        <v>18</v>
      </c>
      <c r="B20" s="7" t="s">
        <v>29</v>
      </c>
      <c r="C20" s="34" t="s">
        <v>309</v>
      </c>
      <c r="D20" s="41">
        <v>21.9</v>
      </c>
      <c r="E20" s="64">
        <v>1.3660000000000001</v>
      </c>
      <c r="F20" s="67">
        <f t="shared" si="0"/>
        <v>11.399821864000002</v>
      </c>
      <c r="G20" s="35">
        <f t="shared" si="7"/>
        <v>28.499554660000005</v>
      </c>
      <c r="H20" s="377">
        <f t="shared" si="1"/>
        <v>1.3659999223996</v>
      </c>
      <c r="I20" s="397">
        <f t="shared" si="4"/>
        <v>5.1707277022587403</v>
      </c>
      <c r="J20" s="377">
        <f t="shared" si="5"/>
        <v>13.659999223996</v>
      </c>
      <c r="K20" s="36"/>
      <c r="L20" s="39">
        <v>0.06</v>
      </c>
      <c r="M20" s="37">
        <v>0</v>
      </c>
      <c r="N20" s="37">
        <v>0</v>
      </c>
      <c r="O20" s="37">
        <v>0</v>
      </c>
      <c r="P20" s="37">
        <v>0</v>
      </c>
      <c r="Q20" s="37">
        <v>0.06</v>
      </c>
      <c r="R20" s="37">
        <v>0</v>
      </c>
      <c r="S20" s="37">
        <v>0</v>
      </c>
      <c r="T20" s="37">
        <v>0</v>
      </c>
      <c r="U20" s="37">
        <v>0</v>
      </c>
      <c r="V20" s="37">
        <v>0.03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8">
        <v>0</v>
      </c>
      <c r="AC20" s="314">
        <f t="shared" si="6"/>
        <v>0</v>
      </c>
    </row>
    <row r="21" spans="1:29" s="2" customFormat="1" ht="26.1" customHeight="1">
      <c r="A21" s="8">
        <v>19</v>
      </c>
      <c r="B21" s="7" t="s">
        <v>30</v>
      </c>
      <c r="C21" s="34" t="s">
        <v>310</v>
      </c>
      <c r="D21" s="41">
        <v>19.12</v>
      </c>
      <c r="E21" s="64">
        <v>1.3779999999999999</v>
      </c>
      <c r="F21" s="67">
        <f t="shared" si="0"/>
        <v>11.499966711999999</v>
      </c>
      <c r="G21" s="35">
        <f t="shared" si="7"/>
        <v>28.74991678</v>
      </c>
      <c r="H21" s="377">
        <f t="shared" si="1"/>
        <v>1.377999921717898</v>
      </c>
      <c r="I21" s="397">
        <f t="shared" si="4"/>
        <v>5.216151371678289</v>
      </c>
      <c r="J21" s="377">
        <f t="shared" si="5"/>
        <v>13.779999217178979</v>
      </c>
      <c r="K21" s="36"/>
      <c r="L21" s="39">
        <v>7.0000000000000007E-2</v>
      </c>
      <c r="M21" s="37">
        <v>0</v>
      </c>
      <c r="N21" s="37">
        <v>0</v>
      </c>
      <c r="O21" s="37">
        <v>0</v>
      </c>
      <c r="P21" s="37">
        <v>0</v>
      </c>
      <c r="Q21" s="37">
        <v>5.2999999999999999E-2</v>
      </c>
      <c r="R21" s="37">
        <v>2.5999999999999999E-2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8">
        <v>0</v>
      </c>
      <c r="AC21" s="314">
        <f t="shared" si="6"/>
        <v>0</v>
      </c>
    </row>
    <row r="22" spans="1:29" s="2" customFormat="1" ht="26.1" customHeight="1">
      <c r="A22" s="8">
        <v>20</v>
      </c>
      <c r="B22" s="7" t="s">
        <v>37</v>
      </c>
      <c r="C22" s="34" t="s">
        <v>311</v>
      </c>
      <c r="D22" s="41"/>
      <c r="E22" s="64">
        <v>1.222</v>
      </c>
      <c r="F22" s="67">
        <f>E22*8.345404</f>
        <v>10.198083688000001</v>
      </c>
      <c r="G22" s="35">
        <f>F22*2.5</f>
        <v>25.49520922</v>
      </c>
      <c r="H22" s="377">
        <f t="shared" si="1"/>
        <v>1.2219999305800229</v>
      </c>
      <c r="I22" s="397">
        <f t="shared" si="4"/>
        <v>4.6256436692241438</v>
      </c>
      <c r="J22" s="377">
        <f t="shared" si="5"/>
        <v>12.219999305800229</v>
      </c>
      <c r="K22" s="36"/>
      <c r="L22" s="39">
        <v>7.0000000000000007E-2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  <c r="AC22" s="314">
        <f t="shared" si="6"/>
        <v>0</v>
      </c>
    </row>
    <row r="23" spans="1:29" s="2" customFormat="1" ht="26.1" hidden="1" customHeight="1">
      <c r="A23" s="8">
        <v>21</v>
      </c>
      <c r="B23" s="7" t="s">
        <v>31</v>
      </c>
      <c r="C23" s="59"/>
      <c r="D23" s="60"/>
      <c r="E23" s="65"/>
      <c r="F23" s="68">
        <f t="shared" si="0"/>
        <v>0</v>
      </c>
      <c r="G23" s="44">
        <f t="shared" si="7"/>
        <v>0</v>
      </c>
      <c r="H23" s="377">
        <f t="shared" si="1"/>
        <v>0</v>
      </c>
      <c r="I23" s="397">
        <f t="shared" si="4"/>
        <v>0</v>
      </c>
      <c r="J23" s="377">
        <f t="shared" si="5"/>
        <v>0</v>
      </c>
      <c r="K23" s="45"/>
      <c r="L23" s="562">
        <v>0.02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61">
        <v>0</v>
      </c>
      <c r="AC23" s="314">
        <f t="shared" si="6"/>
        <v>0</v>
      </c>
    </row>
    <row r="24" spans="1:29" s="2" customFormat="1" ht="26.1" customHeight="1">
      <c r="A24" s="8">
        <v>22</v>
      </c>
      <c r="B24" s="7" t="s">
        <v>38</v>
      </c>
      <c r="C24" s="34" t="s">
        <v>312</v>
      </c>
      <c r="D24" s="41">
        <v>21.42</v>
      </c>
      <c r="E24" s="64">
        <v>1.246</v>
      </c>
      <c r="F24" s="67">
        <f>E24*8.345404</f>
        <v>10.398373384000001</v>
      </c>
      <c r="G24" s="35">
        <f>F24*2.5</f>
        <v>25.995933460000003</v>
      </c>
      <c r="H24" s="377">
        <f t="shared" si="1"/>
        <v>1.2459999292166191</v>
      </c>
      <c r="I24" s="397">
        <f t="shared" si="4"/>
        <v>4.716491008063243</v>
      </c>
      <c r="J24" s="377">
        <f t="shared" si="5"/>
        <v>12.459999292166192</v>
      </c>
      <c r="K24" s="36"/>
      <c r="L24" s="39">
        <v>0.05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0.01</v>
      </c>
      <c r="U24" s="37">
        <v>2.5000000000000001E-2</v>
      </c>
      <c r="V24" s="37">
        <v>0.02</v>
      </c>
      <c r="W24" s="37">
        <v>0</v>
      </c>
      <c r="X24" s="37">
        <v>2.5000000000000001E-3</v>
      </c>
      <c r="Y24" s="37">
        <v>0</v>
      </c>
      <c r="Z24" s="37">
        <v>0</v>
      </c>
      <c r="AA24" s="37">
        <v>0</v>
      </c>
      <c r="AB24" s="38">
        <v>0</v>
      </c>
      <c r="AC24" s="314">
        <f t="shared" si="6"/>
        <v>0</v>
      </c>
    </row>
    <row r="25" spans="1:29" s="2" customFormat="1" ht="26.1" customHeight="1">
      <c r="A25" s="8">
        <v>23</v>
      </c>
      <c r="B25" s="7" t="s">
        <v>203</v>
      </c>
      <c r="C25" s="34" t="s">
        <v>313</v>
      </c>
      <c r="D25" s="41">
        <v>20</v>
      </c>
      <c r="E25" s="64">
        <v>1.1439999999999999</v>
      </c>
      <c r="F25" s="67">
        <f>E25*8.345404</f>
        <v>9.5471421759999995</v>
      </c>
      <c r="G25" s="35">
        <f>F25*2.5</f>
        <v>23.86785544</v>
      </c>
      <c r="H25" s="377">
        <f t="shared" si="1"/>
        <v>1.143999935011085</v>
      </c>
      <c r="I25" s="397">
        <f t="shared" si="4"/>
        <v>4.3303898179970695</v>
      </c>
      <c r="J25" s="377">
        <f t="shared" si="5"/>
        <v>11.439999350110849</v>
      </c>
      <c r="K25" s="36"/>
      <c r="L25" s="37">
        <v>0.03</v>
      </c>
      <c r="M25" s="37">
        <v>0.12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8">
        <v>0</v>
      </c>
      <c r="AC25" s="314">
        <f t="shared" si="6"/>
        <v>0</v>
      </c>
    </row>
    <row r="26" spans="1:29" s="2" customFormat="1" ht="26.1" customHeight="1">
      <c r="A26" s="8">
        <v>24</v>
      </c>
      <c r="B26" s="7" t="s">
        <v>289</v>
      </c>
      <c r="C26" s="34" t="s">
        <v>314</v>
      </c>
      <c r="D26" s="41">
        <v>54</v>
      </c>
      <c r="E26" s="64">
        <v>1.169</v>
      </c>
      <c r="F26" s="67">
        <f>E26*8.345404</f>
        <v>9.7557772759999999</v>
      </c>
      <c r="G26" s="35">
        <f>F26*2.5</f>
        <v>24.389443190000001</v>
      </c>
      <c r="H26" s="377">
        <f t="shared" si="1"/>
        <v>1.1689999335908727</v>
      </c>
      <c r="I26" s="397">
        <f t="shared" si="4"/>
        <v>4.4250224626211319</v>
      </c>
      <c r="J26" s="377">
        <f t="shared" si="5"/>
        <v>11.689999335908727</v>
      </c>
      <c r="K26" s="36"/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  <c r="AC26" s="314">
        <f t="shared" si="6"/>
        <v>0</v>
      </c>
    </row>
    <row r="27" spans="1:29" s="2" customFormat="1" ht="26.1" customHeight="1">
      <c r="A27" s="8">
        <v>25</v>
      </c>
      <c r="B27" s="7" t="s">
        <v>297</v>
      </c>
      <c r="C27" s="34" t="s">
        <v>315</v>
      </c>
      <c r="D27" s="41">
        <v>18.5</v>
      </c>
      <c r="E27" s="64">
        <v>1.258</v>
      </c>
      <c r="F27" s="67">
        <f>E27*8.345404</f>
        <v>10.498518232</v>
      </c>
      <c r="G27" s="35">
        <f>F27*2.5</f>
        <v>26.246295580000002</v>
      </c>
      <c r="H27" s="377">
        <f t="shared" si="1"/>
        <v>1.257999928534917</v>
      </c>
      <c r="I27" s="397">
        <f t="shared" si="4"/>
        <v>4.7619146774827925</v>
      </c>
      <c r="J27" s="377">
        <f t="shared" si="5"/>
        <v>12.579999285349171</v>
      </c>
      <c r="K27" s="36"/>
      <c r="L27" s="37">
        <v>0.3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  <c r="AC27" s="314">
        <f t="shared" si="6"/>
        <v>0</v>
      </c>
    </row>
    <row r="28" spans="1:29" s="2" customFormat="1" ht="26.1" customHeight="1">
      <c r="A28" s="8">
        <v>26</v>
      </c>
      <c r="B28" s="7" t="s">
        <v>27</v>
      </c>
      <c r="C28" s="34" t="s">
        <v>316</v>
      </c>
      <c r="D28" s="41">
        <v>20</v>
      </c>
      <c r="E28" s="64">
        <v>1.246</v>
      </c>
      <c r="F28" s="67">
        <f t="shared" si="0"/>
        <v>10.398373384000001</v>
      </c>
      <c r="G28" s="35">
        <f t="shared" si="7"/>
        <v>25.995933460000003</v>
      </c>
      <c r="H28" s="377">
        <f t="shared" si="1"/>
        <v>1.2459999292166191</v>
      </c>
      <c r="I28" s="397">
        <f t="shared" si="4"/>
        <v>4.716491008063243</v>
      </c>
      <c r="J28" s="377">
        <f t="shared" si="5"/>
        <v>12.459999292166192</v>
      </c>
      <c r="K28" s="36"/>
      <c r="L28" s="39">
        <v>0.18</v>
      </c>
      <c r="M28" s="37">
        <v>0.03</v>
      </c>
      <c r="N28" s="37">
        <v>0</v>
      </c>
      <c r="O28" s="37">
        <v>0.06</v>
      </c>
      <c r="P28" s="37">
        <v>0</v>
      </c>
      <c r="Q28" s="37">
        <v>0</v>
      </c>
      <c r="R28" s="37">
        <v>0</v>
      </c>
      <c r="S28" s="37">
        <v>0</v>
      </c>
      <c r="T28" s="37">
        <v>1E-3</v>
      </c>
      <c r="U28" s="37">
        <v>5.0000000000000001E-4</v>
      </c>
      <c r="V28" s="37">
        <v>5.0000000000000001E-4</v>
      </c>
      <c r="W28" s="37">
        <v>5.0000000000000001E-4</v>
      </c>
      <c r="X28" s="37">
        <v>0</v>
      </c>
      <c r="Y28" s="37">
        <v>0</v>
      </c>
      <c r="Z28" s="37">
        <v>0</v>
      </c>
      <c r="AA28" s="37">
        <v>0</v>
      </c>
      <c r="AB28" s="38">
        <v>0</v>
      </c>
      <c r="AC28" s="314">
        <f t="shared" si="6"/>
        <v>0</v>
      </c>
    </row>
    <row r="29" spans="1:29" s="2" customFormat="1" ht="26.1" customHeight="1">
      <c r="A29" s="8">
        <v>27</v>
      </c>
      <c r="B29" s="7" t="s">
        <v>26</v>
      </c>
      <c r="C29" s="34" t="s">
        <v>317</v>
      </c>
      <c r="D29" s="41">
        <v>20.399999999999999</v>
      </c>
      <c r="E29" s="64">
        <v>1.3540000000000001</v>
      </c>
      <c r="F29" s="67">
        <f t="shared" si="0"/>
        <v>11.299677016</v>
      </c>
      <c r="G29" s="35">
        <f t="shared" si="7"/>
        <v>28.249192540000003</v>
      </c>
      <c r="H29" s="377">
        <f t="shared" si="1"/>
        <v>1.3539999230813018</v>
      </c>
      <c r="I29" s="397">
        <f t="shared" si="4"/>
        <v>5.1253040328391899</v>
      </c>
      <c r="J29" s="377">
        <f t="shared" si="5"/>
        <v>13.539999230813018</v>
      </c>
      <c r="K29" s="36"/>
      <c r="L29" s="39">
        <v>0.12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5.0000000000000001E-3</v>
      </c>
      <c r="S29" s="37">
        <v>0.04</v>
      </c>
      <c r="T29" s="37">
        <v>0.05</v>
      </c>
      <c r="U29" s="37">
        <v>0.01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8">
        <v>0</v>
      </c>
      <c r="AC29" s="314">
        <f t="shared" si="6"/>
        <v>0</v>
      </c>
    </row>
    <row r="30" spans="1:29" s="2" customFormat="1" ht="26.1" customHeight="1">
      <c r="A30" s="8">
        <v>28</v>
      </c>
      <c r="B30" s="7" t="s">
        <v>28</v>
      </c>
      <c r="C30" s="34" t="s">
        <v>318</v>
      </c>
      <c r="D30" s="41">
        <v>14</v>
      </c>
      <c r="E30" s="64">
        <v>1.258</v>
      </c>
      <c r="F30" s="67">
        <f t="shared" si="0"/>
        <v>10.498518232</v>
      </c>
      <c r="G30" s="35">
        <f t="shared" si="7"/>
        <v>26.246295580000002</v>
      </c>
      <c r="H30" s="377">
        <f t="shared" si="1"/>
        <v>1.257999928534917</v>
      </c>
      <c r="I30" s="397">
        <f t="shared" si="4"/>
        <v>4.7619146774827925</v>
      </c>
      <c r="J30" s="377">
        <f t="shared" si="5"/>
        <v>12.579999285349171</v>
      </c>
      <c r="K30" s="36"/>
      <c r="L30" s="39">
        <v>0.01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0.05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8">
        <v>0</v>
      </c>
      <c r="AC30" s="314">
        <f t="shared" si="6"/>
        <v>0</v>
      </c>
    </row>
    <row r="31" spans="1:29" s="2" customFormat="1" ht="26.1" customHeight="1">
      <c r="A31" s="8">
        <v>29</v>
      </c>
      <c r="B31" s="7" t="s">
        <v>34</v>
      </c>
      <c r="C31" s="34" t="s">
        <v>315</v>
      </c>
      <c r="D31" s="41">
        <v>18.5</v>
      </c>
      <c r="E31" s="64">
        <v>1.258</v>
      </c>
      <c r="F31" s="67">
        <f t="shared" si="0"/>
        <v>10.498518232</v>
      </c>
      <c r="G31" s="35">
        <f t="shared" si="7"/>
        <v>26.246295580000002</v>
      </c>
      <c r="H31" s="377">
        <f t="shared" si="1"/>
        <v>1.257999928534917</v>
      </c>
      <c r="I31" s="397">
        <f t="shared" si="4"/>
        <v>4.7619146774827925</v>
      </c>
      <c r="J31" s="377">
        <f t="shared" si="5"/>
        <v>12.579999285349171</v>
      </c>
      <c r="K31" s="36"/>
      <c r="L31" s="39">
        <v>0.3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8">
        <v>0</v>
      </c>
      <c r="AC31" s="314">
        <f t="shared" si="6"/>
        <v>0</v>
      </c>
    </row>
    <row r="32" spans="1:29" s="2" customFormat="1" ht="26.1" customHeight="1">
      <c r="A32" s="8">
        <v>30</v>
      </c>
      <c r="B32" s="7" t="s">
        <v>35</v>
      </c>
      <c r="C32" s="34"/>
      <c r="D32" s="41"/>
      <c r="E32" s="64"/>
      <c r="F32" s="67">
        <f t="shared" si="0"/>
        <v>0</v>
      </c>
      <c r="G32" s="35">
        <f t="shared" si="7"/>
        <v>0</v>
      </c>
      <c r="H32" s="377">
        <f t="shared" si="1"/>
        <v>0</v>
      </c>
      <c r="I32" s="397">
        <f t="shared" si="4"/>
        <v>0</v>
      </c>
      <c r="J32" s="377">
        <f t="shared" si="5"/>
        <v>0</v>
      </c>
      <c r="K32" s="36"/>
      <c r="L32" s="39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8">
        <v>0</v>
      </c>
      <c r="AC32" s="314">
        <f t="shared" si="6"/>
        <v>0</v>
      </c>
    </row>
    <row r="33" spans="1:32" s="2" customFormat="1" ht="26.1" customHeight="1" thickBot="1">
      <c r="A33" s="8">
        <v>31</v>
      </c>
      <c r="B33" s="7" t="s">
        <v>36</v>
      </c>
      <c r="C33" s="304"/>
      <c r="D33" s="42"/>
      <c r="E33" s="336"/>
      <c r="F33" s="337">
        <f t="shared" si="0"/>
        <v>0</v>
      </c>
      <c r="G33" s="35">
        <f t="shared" si="7"/>
        <v>0</v>
      </c>
      <c r="H33" s="378">
        <f t="shared" si="1"/>
        <v>0</v>
      </c>
      <c r="I33" s="397">
        <f t="shared" si="4"/>
        <v>0</v>
      </c>
      <c r="J33" s="377">
        <f t="shared" si="5"/>
        <v>0</v>
      </c>
      <c r="K33" s="36"/>
      <c r="L33" s="39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49">
        <v>0</v>
      </c>
      <c r="AC33" s="321">
        <f t="shared" si="6"/>
        <v>0</v>
      </c>
    </row>
    <row r="34" spans="1:32" ht="5.25" customHeight="1" thickBot="1">
      <c r="B34" s="26"/>
      <c r="C34" s="27"/>
      <c r="D34" s="28"/>
      <c r="E34" s="28"/>
      <c r="F34" s="26"/>
      <c r="G34" s="46"/>
      <c r="H34" s="46"/>
      <c r="I34" s="341"/>
      <c r="J34" s="46"/>
      <c r="K34" s="47"/>
      <c r="L34" s="46"/>
      <c r="M34" s="46"/>
      <c r="N34" s="305"/>
      <c r="O34" s="46"/>
      <c r="P34" s="305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05"/>
    </row>
    <row r="35" spans="1:32" s="2" customFormat="1" ht="26.1" customHeight="1">
      <c r="A35" s="8">
        <v>40</v>
      </c>
      <c r="B35" s="7" t="s">
        <v>39</v>
      </c>
      <c r="C35" s="29"/>
      <c r="D35" s="40"/>
      <c r="E35" s="62"/>
      <c r="F35" s="66">
        <f t="shared" ref="F35:F40" si="8">E35*8.345404</f>
        <v>0</v>
      </c>
      <c r="G35" s="30">
        <f t="shared" si="7"/>
        <v>0</v>
      </c>
      <c r="H35" s="377">
        <f t="shared" ref="H35:H40" si="9">(E35/1.000028)</f>
        <v>0</v>
      </c>
      <c r="I35" s="397">
        <f t="shared" si="4"/>
        <v>0</v>
      </c>
      <c r="J35" s="377">
        <f t="shared" ref="J35:J40" si="10">H35*10</f>
        <v>0</v>
      </c>
      <c r="K35" s="31"/>
      <c r="L35" s="564">
        <v>0</v>
      </c>
      <c r="M35" s="564">
        <v>0</v>
      </c>
      <c r="N35" s="32">
        <f t="shared" ref="N35:N40" si="11">M35*0.43642</f>
        <v>0</v>
      </c>
      <c r="O35" s="564">
        <v>0</v>
      </c>
      <c r="P35" s="32">
        <f t="shared" ref="P35:P40" si="12">O35*0.83015</f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3">
        <v>0</v>
      </c>
      <c r="AC35" s="315">
        <f t="shared" si="6"/>
        <v>0</v>
      </c>
    </row>
    <row r="36" spans="1:32" s="2" customFormat="1" ht="26.1" customHeight="1">
      <c r="A36" s="8">
        <v>41</v>
      </c>
      <c r="B36" s="7" t="s">
        <v>41</v>
      </c>
      <c r="C36" s="34"/>
      <c r="D36" s="41"/>
      <c r="E36" s="64"/>
      <c r="F36" s="67">
        <f t="shared" si="8"/>
        <v>0</v>
      </c>
      <c r="G36" s="35">
        <f t="shared" si="7"/>
        <v>0</v>
      </c>
      <c r="H36" s="377">
        <f t="shared" si="9"/>
        <v>0</v>
      </c>
      <c r="I36" s="397">
        <f t="shared" si="4"/>
        <v>0</v>
      </c>
      <c r="J36" s="377">
        <f t="shared" si="10"/>
        <v>0</v>
      </c>
      <c r="K36" s="36"/>
      <c r="L36" s="39">
        <v>0</v>
      </c>
      <c r="M36" s="39">
        <v>0</v>
      </c>
      <c r="N36" s="312">
        <f t="shared" si="11"/>
        <v>0</v>
      </c>
      <c r="O36" s="39">
        <v>0</v>
      </c>
      <c r="P36" s="312">
        <f t="shared" si="12"/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8">
        <v>0</v>
      </c>
      <c r="AC36" s="316">
        <f>AB36*0.37775</f>
        <v>0</v>
      </c>
    </row>
    <row r="37" spans="1:32" s="2" customFormat="1" ht="26.1" hidden="1" customHeight="1">
      <c r="A37" s="8">
        <v>42</v>
      </c>
      <c r="B37" s="7" t="s">
        <v>191</v>
      </c>
      <c r="C37" s="34"/>
      <c r="D37" s="41"/>
      <c r="E37" s="64"/>
      <c r="F37" s="67">
        <f t="shared" si="8"/>
        <v>0</v>
      </c>
      <c r="G37" s="35">
        <f>F37*2.5</f>
        <v>0</v>
      </c>
      <c r="H37" s="377">
        <f t="shared" si="9"/>
        <v>0</v>
      </c>
      <c r="I37" s="397">
        <f t="shared" si="4"/>
        <v>0</v>
      </c>
      <c r="J37" s="377">
        <f t="shared" si="10"/>
        <v>0</v>
      </c>
      <c r="K37" s="36"/>
      <c r="L37" s="39">
        <v>0.21</v>
      </c>
      <c r="M37" s="39">
        <v>0.01</v>
      </c>
      <c r="N37" s="312">
        <f t="shared" si="11"/>
        <v>4.3641999999999995E-3</v>
      </c>
      <c r="O37" s="39">
        <v>0.01</v>
      </c>
      <c r="P37" s="312">
        <f t="shared" si="12"/>
        <v>8.3014999999999999E-3</v>
      </c>
      <c r="Q37" s="37">
        <v>0</v>
      </c>
      <c r="R37" s="37">
        <v>0</v>
      </c>
      <c r="S37" s="37">
        <v>0</v>
      </c>
      <c r="T37" s="37">
        <v>5.0000000000000001E-3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8">
        <v>0</v>
      </c>
      <c r="AC37" s="316">
        <f t="shared" ref="AC37:AC50" si="13">AB37*0.37775</f>
        <v>0</v>
      </c>
    </row>
    <row r="38" spans="1:32" s="2" customFormat="1" ht="26.1" customHeight="1">
      <c r="A38" s="8">
        <v>43</v>
      </c>
      <c r="B38" s="7" t="s">
        <v>40</v>
      </c>
      <c r="C38" s="34"/>
      <c r="D38" s="41"/>
      <c r="E38" s="64"/>
      <c r="F38" s="67">
        <f t="shared" si="8"/>
        <v>0</v>
      </c>
      <c r="G38" s="35">
        <f>F38*2.5</f>
        <v>0</v>
      </c>
      <c r="H38" s="377">
        <f t="shared" si="9"/>
        <v>0</v>
      </c>
      <c r="I38" s="397">
        <f t="shared" si="4"/>
        <v>0</v>
      </c>
      <c r="J38" s="377">
        <f t="shared" si="10"/>
        <v>0</v>
      </c>
      <c r="K38" s="36"/>
      <c r="L38" s="39">
        <v>0</v>
      </c>
      <c r="M38" s="39">
        <v>0</v>
      </c>
      <c r="N38" s="312">
        <f t="shared" si="11"/>
        <v>0</v>
      </c>
      <c r="O38" s="39">
        <v>0</v>
      </c>
      <c r="P38" s="312">
        <f t="shared" si="12"/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8">
        <v>0</v>
      </c>
      <c r="AC38" s="316">
        <f t="shared" si="13"/>
        <v>0</v>
      </c>
    </row>
    <row r="39" spans="1:32" s="2" customFormat="1" ht="26.1" hidden="1" customHeight="1">
      <c r="A39" s="8">
        <v>44</v>
      </c>
      <c r="B39" s="7"/>
      <c r="C39" s="59"/>
      <c r="D39" s="60"/>
      <c r="E39" s="65"/>
      <c r="F39" s="67">
        <f t="shared" si="8"/>
        <v>0</v>
      </c>
      <c r="G39" s="35">
        <f>F39*2.5</f>
        <v>0</v>
      </c>
      <c r="H39" s="377">
        <f t="shared" si="9"/>
        <v>0</v>
      </c>
      <c r="I39" s="397">
        <f t="shared" si="4"/>
        <v>0</v>
      </c>
      <c r="J39" s="377">
        <f t="shared" si="10"/>
        <v>0</v>
      </c>
      <c r="K39" s="45"/>
      <c r="L39" s="37">
        <v>0</v>
      </c>
      <c r="M39" s="37">
        <v>0</v>
      </c>
      <c r="N39" s="312">
        <f t="shared" si="11"/>
        <v>0</v>
      </c>
      <c r="O39" s="37">
        <v>0</v>
      </c>
      <c r="P39" s="312">
        <f t="shared" si="12"/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8">
        <v>0</v>
      </c>
      <c r="AC39" s="316">
        <f t="shared" si="13"/>
        <v>0</v>
      </c>
    </row>
    <row r="40" spans="1:32" s="2" customFormat="1" ht="26.1" customHeight="1">
      <c r="A40" s="8">
        <v>45</v>
      </c>
      <c r="B40" s="7" t="s">
        <v>202</v>
      </c>
      <c r="C40" s="59"/>
      <c r="D40" s="60"/>
      <c r="E40" s="65"/>
      <c r="F40" s="67">
        <f t="shared" si="8"/>
        <v>0</v>
      </c>
      <c r="G40" s="35">
        <f>F40*2.5</f>
        <v>0</v>
      </c>
      <c r="H40" s="377">
        <f t="shared" si="9"/>
        <v>0</v>
      </c>
      <c r="I40" s="397">
        <f t="shared" si="4"/>
        <v>0</v>
      </c>
      <c r="J40" s="377">
        <f t="shared" si="10"/>
        <v>0</v>
      </c>
      <c r="K40" s="45"/>
      <c r="L40" s="37">
        <v>0</v>
      </c>
      <c r="M40" s="37">
        <v>0</v>
      </c>
      <c r="N40" s="312">
        <f t="shared" si="11"/>
        <v>0</v>
      </c>
      <c r="O40" s="37">
        <v>0</v>
      </c>
      <c r="P40" s="312">
        <f t="shared" si="12"/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0</v>
      </c>
      <c r="AC40" s="316">
        <f t="shared" si="13"/>
        <v>0</v>
      </c>
    </row>
    <row r="41" spans="1:32" s="2" customFormat="1" ht="26.1" customHeight="1" thickBot="1">
      <c r="A41" s="8">
        <v>46</v>
      </c>
      <c r="B41" s="7" t="s">
        <v>197</v>
      </c>
      <c r="C41" s="34"/>
      <c r="D41" s="41"/>
      <c r="E41" s="64"/>
      <c r="F41" s="67">
        <f t="shared" ref="F41:F44" si="14">E41*8.345404</f>
        <v>0</v>
      </c>
      <c r="G41" s="35">
        <f t="shared" ref="G41:G43" si="15">F41*2.5</f>
        <v>0</v>
      </c>
      <c r="H41" s="377">
        <f t="shared" ref="H41:H44" si="16">(E41/1.000028)</f>
        <v>0</v>
      </c>
      <c r="I41" s="397">
        <f t="shared" ref="I41:I44" si="17">H41*3.785306</f>
        <v>0</v>
      </c>
      <c r="J41" s="377">
        <f t="shared" ref="J41:J44" si="18">H41*10</f>
        <v>0</v>
      </c>
      <c r="K41" s="36"/>
      <c r="L41" s="37">
        <v>0</v>
      </c>
      <c r="M41" s="37">
        <v>0</v>
      </c>
      <c r="N41" s="312">
        <f t="shared" ref="N41:N44" si="19">M41*0.43642</f>
        <v>0</v>
      </c>
      <c r="O41" s="37">
        <v>0</v>
      </c>
      <c r="P41" s="312">
        <f t="shared" ref="P41:P44" si="20">O41*0.83015</f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17">
        <f t="shared" ref="AC41:AC44" si="21">AB41*0.37775</f>
        <v>0</v>
      </c>
    </row>
    <row r="42" spans="1:32" s="2" customFormat="1" ht="26.1" customHeight="1" thickBot="1">
      <c r="A42" s="8">
        <v>46</v>
      </c>
      <c r="B42" s="7" t="s">
        <v>294</v>
      </c>
      <c r="C42" s="34"/>
      <c r="D42" s="60"/>
      <c r="E42" s="65"/>
      <c r="F42" s="67">
        <f t="shared" si="14"/>
        <v>0</v>
      </c>
      <c r="G42" s="35">
        <f t="shared" si="15"/>
        <v>0</v>
      </c>
      <c r="H42" s="377">
        <f t="shared" si="16"/>
        <v>0</v>
      </c>
      <c r="I42" s="397">
        <f t="shared" si="17"/>
        <v>0</v>
      </c>
      <c r="J42" s="377">
        <f t="shared" si="18"/>
        <v>0</v>
      </c>
      <c r="K42" s="36"/>
      <c r="L42" s="37">
        <v>0</v>
      </c>
      <c r="M42" s="37">
        <v>0</v>
      </c>
      <c r="N42" s="312">
        <f t="shared" si="19"/>
        <v>0</v>
      </c>
      <c r="O42" s="37">
        <v>0</v>
      </c>
      <c r="P42" s="312">
        <f t="shared" si="20"/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17">
        <f t="shared" si="21"/>
        <v>0</v>
      </c>
    </row>
    <row r="43" spans="1:32" s="2" customFormat="1" ht="26.1" customHeight="1" thickBot="1">
      <c r="A43" s="8">
        <v>46</v>
      </c>
      <c r="B43" s="7" t="s">
        <v>295</v>
      </c>
      <c r="C43" s="34"/>
      <c r="D43" s="41"/>
      <c r="E43" s="64"/>
      <c r="F43" s="67">
        <f t="shared" si="14"/>
        <v>0</v>
      </c>
      <c r="G43" s="35">
        <f t="shared" si="15"/>
        <v>0</v>
      </c>
      <c r="H43" s="377">
        <f t="shared" si="16"/>
        <v>0</v>
      </c>
      <c r="I43" s="397">
        <f t="shared" si="17"/>
        <v>0</v>
      </c>
      <c r="J43" s="377">
        <f t="shared" si="18"/>
        <v>0</v>
      </c>
      <c r="K43" s="36"/>
      <c r="L43" s="37">
        <v>0</v>
      </c>
      <c r="M43" s="37">
        <v>0</v>
      </c>
      <c r="N43" s="312">
        <f t="shared" si="19"/>
        <v>0</v>
      </c>
      <c r="O43" s="37">
        <v>0</v>
      </c>
      <c r="P43" s="312">
        <f t="shared" si="20"/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0</v>
      </c>
      <c r="AC43" s="317">
        <f t="shared" si="21"/>
        <v>0</v>
      </c>
    </row>
    <row r="44" spans="1:32" s="2" customFormat="1" ht="26.1" customHeight="1" thickBot="1">
      <c r="A44" s="8">
        <v>46</v>
      </c>
      <c r="B44" s="7" t="s">
        <v>296</v>
      </c>
      <c r="C44" s="34"/>
      <c r="D44" s="41"/>
      <c r="E44" s="64"/>
      <c r="F44" s="67">
        <f t="shared" si="14"/>
        <v>0</v>
      </c>
      <c r="G44" s="35">
        <f>F44*2.5</f>
        <v>0</v>
      </c>
      <c r="H44" s="377">
        <f t="shared" si="16"/>
        <v>0</v>
      </c>
      <c r="I44" s="397">
        <f t="shared" si="17"/>
        <v>0</v>
      </c>
      <c r="J44" s="377">
        <f t="shared" si="18"/>
        <v>0</v>
      </c>
      <c r="K44" s="36"/>
      <c r="L44" s="37">
        <v>0</v>
      </c>
      <c r="M44" s="37">
        <v>0</v>
      </c>
      <c r="N44" s="312">
        <f t="shared" si="19"/>
        <v>0</v>
      </c>
      <c r="O44" s="37">
        <v>0</v>
      </c>
      <c r="P44" s="312">
        <f t="shared" si="20"/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317">
        <f t="shared" si="21"/>
        <v>0</v>
      </c>
    </row>
    <row r="45" spans="1:32" s="2" customFormat="1" ht="26.1" hidden="1" customHeight="1" thickBot="1">
      <c r="A45" s="8"/>
      <c r="B45" s="7"/>
      <c r="C45" s="34"/>
      <c r="D45" s="41"/>
      <c r="E45" s="64"/>
      <c r="F45" s="67"/>
      <c r="G45" s="35"/>
      <c r="H45" s="377"/>
      <c r="I45" s="397"/>
      <c r="J45" s="377"/>
      <c r="K45" s="36"/>
      <c r="L45" s="37"/>
      <c r="M45" s="37"/>
      <c r="N45" s="312"/>
      <c r="O45" s="37"/>
      <c r="P45" s="312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17"/>
    </row>
    <row r="46" spans="1:32" s="2" customFormat="1" ht="26.1" hidden="1" customHeight="1" thickBot="1">
      <c r="A46" s="8"/>
      <c r="B46" s="7"/>
      <c r="C46" s="294"/>
      <c r="D46" s="295"/>
      <c r="E46" s="296"/>
      <c r="F46" s="67"/>
      <c r="G46" s="35"/>
      <c r="H46" s="377"/>
      <c r="I46" s="397"/>
      <c r="J46" s="377"/>
      <c r="K46" s="297"/>
      <c r="L46" s="37"/>
      <c r="M46" s="37"/>
      <c r="N46" s="312"/>
      <c r="O46" s="37"/>
      <c r="P46" s="312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557"/>
      <c r="AC46" s="317"/>
    </row>
    <row r="47" spans="1:32" ht="6" customHeight="1" thickBot="1">
      <c r="B47" s="26"/>
      <c r="C47" s="27"/>
      <c r="D47" s="28"/>
      <c r="E47" s="28"/>
      <c r="F47" s="26"/>
      <c r="G47" s="50"/>
      <c r="H47" s="50"/>
      <c r="I47" s="342"/>
      <c r="J47" s="50"/>
      <c r="K47" s="51"/>
      <c r="L47" s="74">
        <v>0</v>
      </c>
      <c r="M47" s="50"/>
      <c r="N47" s="306"/>
      <c r="O47" s="50"/>
      <c r="P47" s="306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306"/>
    </row>
    <row r="48" spans="1:32" s="2" customFormat="1" ht="26.1" customHeight="1" thickTop="1">
      <c r="A48" s="8">
        <v>50</v>
      </c>
      <c r="B48" s="7"/>
      <c r="C48" s="273" t="s">
        <v>142</v>
      </c>
      <c r="D48" s="214"/>
      <c r="E48" s="334"/>
      <c r="F48" s="331">
        <f>E48*8.345404</f>
        <v>0</v>
      </c>
      <c r="G48" s="215">
        <f t="shared" si="7"/>
        <v>0</v>
      </c>
      <c r="H48" s="379">
        <f>(E48/1.000028)</f>
        <v>0</v>
      </c>
      <c r="I48" s="379">
        <f t="shared" si="4"/>
        <v>0</v>
      </c>
      <c r="J48" s="379">
        <f>H48*10</f>
        <v>0</v>
      </c>
      <c r="K48" s="392"/>
      <c r="L48" s="216"/>
      <c r="M48" s="217"/>
      <c r="N48" s="217"/>
      <c r="O48" s="216"/>
      <c r="P48" s="216"/>
      <c r="Q48" s="218"/>
      <c r="R48" s="218"/>
      <c r="S48" s="218"/>
      <c r="T48" s="219"/>
      <c r="U48" s="219"/>
      <c r="V48" s="219"/>
      <c r="W48" s="219"/>
      <c r="X48" s="219"/>
      <c r="Y48" s="218"/>
      <c r="Z48" s="218"/>
      <c r="AA48" s="218"/>
      <c r="AB48" s="220"/>
      <c r="AC48" s="318">
        <f t="shared" si="13"/>
        <v>0</v>
      </c>
      <c r="AD48" s="1"/>
      <c r="AE48" s="1"/>
      <c r="AF48" s="1"/>
    </row>
    <row r="49" spans="1:32" s="2" customFormat="1" ht="26.1" customHeight="1" thickBot="1">
      <c r="A49" s="8">
        <v>51</v>
      </c>
      <c r="B49" s="7"/>
      <c r="C49" s="274" t="s">
        <v>138</v>
      </c>
      <c r="D49" s="53"/>
      <c r="E49" s="335"/>
      <c r="F49" s="332">
        <f>E49*8.345404</f>
        <v>0</v>
      </c>
      <c r="G49" s="54">
        <f t="shared" si="7"/>
        <v>0</v>
      </c>
      <c r="H49" s="380">
        <f>(E49/1.000028)</f>
        <v>0</v>
      </c>
      <c r="I49" s="380">
        <f t="shared" si="4"/>
        <v>0</v>
      </c>
      <c r="J49" s="380">
        <f>H49*10</f>
        <v>0</v>
      </c>
      <c r="K49" s="396"/>
      <c r="L49" s="55"/>
      <c r="M49" s="55"/>
      <c r="N49" s="55"/>
      <c r="O49" s="55"/>
      <c r="P49" s="55"/>
      <c r="Q49" s="56"/>
      <c r="R49" s="56"/>
      <c r="S49" s="56"/>
      <c r="T49" s="57"/>
      <c r="U49" s="57"/>
      <c r="V49" s="57"/>
      <c r="W49" s="57"/>
      <c r="X49" s="56"/>
      <c r="Y49" s="56"/>
      <c r="Z49" s="56"/>
      <c r="AA49" s="56"/>
      <c r="AB49" s="58"/>
      <c r="AC49" s="319">
        <f t="shared" si="13"/>
        <v>0</v>
      </c>
    </row>
    <row r="50" spans="1:32" s="2" customFormat="1" ht="26.1" customHeight="1" thickTop="1" thickBot="1">
      <c r="A50" s="8">
        <v>52</v>
      </c>
      <c r="B50" s="7"/>
      <c r="C50" s="272" t="s">
        <v>178</v>
      </c>
      <c r="D50" s="264"/>
      <c r="E50" s="276"/>
      <c r="F50" s="333"/>
      <c r="G50" s="265"/>
      <c r="H50" s="333"/>
      <c r="I50" s="389"/>
      <c r="J50" s="403"/>
      <c r="K50" s="393"/>
      <c r="L50" s="268"/>
      <c r="M50" s="268"/>
      <c r="N50" s="268"/>
      <c r="O50" s="268"/>
      <c r="P50" s="268"/>
      <c r="Q50" s="269"/>
      <c r="R50" s="269"/>
      <c r="S50" s="269"/>
      <c r="T50" s="270"/>
      <c r="U50" s="270"/>
      <c r="V50" s="270"/>
      <c r="W50" s="270"/>
      <c r="X50" s="269"/>
      <c r="Y50" s="269"/>
      <c r="Z50" s="269"/>
      <c r="AA50" s="269"/>
      <c r="AB50" s="271"/>
      <c r="AC50" s="320">
        <f t="shared" si="13"/>
        <v>0</v>
      </c>
    </row>
    <row r="51" spans="1:32" s="2" customFormat="1" ht="39.950000000000003" customHeight="1" thickTop="1" thickBot="1">
      <c r="A51" s="9" t="s">
        <v>42</v>
      </c>
      <c r="B51" s="5" t="s">
        <v>16</v>
      </c>
      <c r="C51" s="112" t="s">
        <v>69</v>
      </c>
      <c r="D51" s="5" t="s">
        <v>225</v>
      </c>
      <c r="E51" s="5"/>
      <c r="F51" s="5" t="s">
        <v>111</v>
      </c>
      <c r="G51" s="5"/>
      <c r="H51" s="373" t="s">
        <v>213</v>
      </c>
      <c r="I51" s="339"/>
      <c r="J51" s="5"/>
      <c r="K51" s="5"/>
      <c r="L51" s="303" t="s">
        <v>212</v>
      </c>
      <c r="M51" s="303" t="s">
        <v>209</v>
      </c>
      <c r="N51" s="310" t="s">
        <v>227</v>
      </c>
      <c r="O51" s="303" t="s">
        <v>210</v>
      </c>
      <c r="P51" s="311" t="s">
        <v>264</v>
      </c>
      <c r="Q51" s="6" t="s">
        <v>3</v>
      </c>
      <c r="R51" s="6" t="s">
        <v>4</v>
      </c>
      <c r="S51" s="6" t="s">
        <v>5</v>
      </c>
      <c r="T51" s="6" t="s">
        <v>8</v>
      </c>
      <c r="U51" s="6" t="s">
        <v>9</v>
      </c>
      <c r="V51" s="6" t="s">
        <v>10</v>
      </c>
      <c r="W51" s="6" t="s">
        <v>7</v>
      </c>
      <c r="X51" s="6" t="s">
        <v>6</v>
      </c>
      <c r="Y51" s="6" t="s">
        <v>11</v>
      </c>
      <c r="Z51" s="6" t="s">
        <v>12</v>
      </c>
      <c r="AA51" s="6" t="s">
        <v>13</v>
      </c>
      <c r="AB51" s="6" t="s">
        <v>15</v>
      </c>
      <c r="AC51" s="310" t="s">
        <v>211</v>
      </c>
      <c r="AD51" s="1"/>
      <c r="AE51" s="1"/>
      <c r="AF51" s="1"/>
    </row>
    <row r="52" spans="1:32" s="2" customFormat="1" ht="26.1" customHeight="1">
      <c r="A52" s="8">
        <v>80</v>
      </c>
      <c r="B52" s="7" t="s">
        <v>46</v>
      </c>
      <c r="C52" s="131"/>
      <c r="D52" s="40"/>
      <c r="E52" s="322"/>
      <c r="F52" s="122">
        <v>50</v>
      </c>
      <c r="G52" s="324"/>
      <c r="H52" s="381">
        <f>F52*0.453592</f>
        <v>22.679600000000001</v>
      </c>
      <c r="I52" s="383"/>
      <c r="J52" s="400"/>
      <c r="K52" s="386"/>
      <c r="L52" s="56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3">
        <v>0</v>
      </c>
      <c r="AC52" s="33">
        <v>0</v>
      </c>
    </row>
    <row r="53" spans="1:32" s="2" customFormat="1" ht="26.1" customHeight="1">
      <c r="A53" s="8">
        <v>81</v>
      </c>
      <c r="B53" s="7" t="s">
        <v>47</v>
      </c>
      <c r="C53" s="132"/>
      <c r="D53" s="41"/>
      <c r="E53" s="323"/>
      <c r="F53" s="121">
        <v>50</v>
      </c>
      <c r="G53" s="325"/>
      <c r="H53" s="382">
        <f>F53*0.453592</f>
        <v>22.679600000000001</v>
      </c>
      <c r="I53" s="384"/>
      <c r="J53" s="401"/>
      <c r="K53" s="387"/>
      <c r="L53" s="561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8">
        <v>0</v>
      </c>
      <c r="AC53" s="38">
        <v>0</v>
      </c>
    </row>
    <row r="54" spans="1:32" s="2" customFormat="1" ht="26.1" customHeight="1">
      <c r="A54" s="8">
        <v>82</v>
      </c>
      <c r="B54" s="7" t="s">
        <v>48</v>
      </c>
      <c r="C54" s="132"/>
      <c r="D54" s="41"/>
      <c r="E54" s="323"/>
      <c r="F54" s="121">
        <v>50</v>
      </c>
      <c r="G54" s="325"/>
      <c r="H54" s="382">
        <f t="shared" ref="H54:H71" si="22">F54*0.453592</f>
        <v>22.679600000000001</v>
      </c>
      <c r="I54" s="384"/>
      <c r="J54" s="401"/>
      <c r="K54" s="387"/>
      <c r="L54" s="561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8">
        <v>0</v>
      </c>
      <c r="AC54" s="38">
        <v>0</v>
      </c>
    </row>
    <row r="55" spans="1:32" s="2" customFormat="1" ht="26.1" customHeight="1">
      <c r="A55" s="8">
        <v>83</v>
      </c>
      <c r="B55" s="7" t="s">
        <v>49</v>
      </c>
      <c r="C55" s="132"/>
      <c r="D55" s="41"/>
      <c r="E55" s="323"/>
      <c r="F55" s="121">
        <v>50</v>
      </c>
      <c r="G55" s="325"/>
      <c r="H55" s="382">
        <f t="shared" si="22"/>
        <v>22.679600000000001</v>
      </c>
      <c r="I55" s="384"/>
      <c r="J55" s="401"/>
      <c r="K55" s="387"/>
      <c r="L55" s="561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8">
        <v>0</v>
      </c>
      <c r="AC55" s="38">
        <v>0</v>
      </c>
    </row>
    <row r="56" spans="1:32" s="2" customFormat="1" ht="26.1" customHeight="1">
      <c r="A56" s="8">
        <v>84</v>
      </c>
      <c r="B56" s="7" t="s">
        <v>50</v>
      </c>
      <c r="C56" s="132"/>
      <c r="D56" s="41"/>
      <c r="E56" s="323"/>
      <c r="F56" s="121">
        <v>50</v>
      </c>
      <c r="G56" s="325"/>
      <c r="H56" s="382">
        <f t="shared" si="22"/>
        <v>22.679600000000001</v>
      </c>
      <c r="I56" s="384"/>
      <c r="J56" s="401"/>
      <c r="K56" s="387"/>
      <c r="L56" s="561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8">
        <v>0</v>
      </c>
      <c r="AC56" s="38">
        <v>0</v>
      </c>
    </row>
    <row r="57" spans="1:32" s="2" customFormat="1" ht="26.1" hidden="1" customHeight="1">
      <c r="A57" s="8">
        <v>85</v>
      </c>
      <c r="B57" s="7"/>
      <c r="C57" s="132"/>
      <c r="D57" s="41"/>
      <c r="E57" s="323"/>
      <c r="F57" s="121">
        <v>50</v>
      </c>
      <c r="G57" s="325"/>
      <c r="H57" s="382">
        <f t="shared" si="22"/>
        <v>22.679600000000001</v>
      </c>
      <c r="I57" s="384"/>
      <c r="J57" s="401"/>
      <c r="K57" s="387"/>
      <c r="L57" s="561">
        <v>0.06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8">
        <v>0</v>
      </c>
      <c r="AC57" s="38">
        <v>0</v>
      </c>
    </row>
    <row r="58" spans="1:32" s="2" customFormat="1" ht="26.1" hidden="1" customHeight="1">
      <c r="A58" s="8">
        <v>86</v>
      </c>
      <c r="B58" s="7"/>
      <c r="C58" s="132"/>
      <c r="D58" s="41"/>
      <c r="E58" s="323"/>
      <c r="F58" s="121">
        <v>50</v>
      </c>
      <c r="G58" s="325"/>
      <c r="H58" s="382">
        <f t="shared" si="22"/>
        <v>22.679600000000001</v>
      </c>
      <c r="I58" s="384"/>
      <c r="J58" s="401"/>
      <c r="K58" s="387"/>
      <c r="L58" s="561">
        <v>0.06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8">
        <v>0</v>
      </c>
      <c r="AC58" s="38">
        <v>0</v>
      </c>
    </row>
    <row r="59" spans="1:32" s="2" customFormat="1" ht="26.1" hidden="1" customHeight="1">
      <c r="A59" s="8">
        <v>87</v>
      </c>
      <c r="B59" s="7"/>
      <c r="C59" s="132"/>
      <c r="D59" s="41"/>
      <c r="E59" s="323"/>
      <c r="F59" s="121">
        <v>50</v>
      </c>
      <c r="G59" s="325"/>
      <c r="H59" s="382">
        <f t="shared" si="22"/>
        <v>22.679600000000001</v>
      </c>
      <c r="I59" s="384"/>
      <c r="J59" s="401"/>
      <c r="K59" s="387"/>
      <c r="L59" s="561">
        <v>0.2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8">
        <v>0</v>
      </c>
      <c r="AC59" s="38">
        <v>0</v>
      </c>
    </row>
    <row r="60" spans="1:32" s="2" customFormat="1" ht="26.1" hidden="1" customHeight="1">
      <c r="A60" s="8">
        <v>88</v>
      </c>
      <c r="B60" s="7"/>
      <c r="C60" s="132"/>
      <c r="D60" s="41"/>
      <c r="E60" s="323"/>
      <c r="F60" s="121">
        <v>50</v>
      </c>
      <c r="G60" s="325"/>
      <c r="H60" s="382">
        <f t="shared" si="22"/>
        <v>22.679600000000001</v>
      </c>
      <c r="I60" s="384"/>
      <c r="J60" s="401"/>
      <c r="K60" s="387"/>
      <c r="L60" s="561">
        <v>0.19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8">
        <v>0</v>
      </c>
      <c r="AC60" s="38">
        <v>0</v>
      </c>
    </row>
    <row r="61" spans="1:32" s="2" customFormat="1" ht="26.1" hidden="1" customHeight="1">
      <c r="A61" s="8">
        <v>89</v>
      </c>
      <c r="B61" s="7"/>
      <c r="C61" s="132"/>
      <c r="D61" s="41"/>
      <c r="E61" s="323"/>
      <c r="F61" s="121">
        <v>50</v>
      </c>
      <c r="G61" s="325"/>
      <c r="H61" s="382">
        <f t="shared" si="22"/>
        <v>22.679600000000001</v>
      </c>
      <c r="I61" s="384"/>
      <c r="J61" s="401"/>
      <c r="K61" s="387"/>
      <c r="L61" s="561">
        <v>0.11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8">
        <v>0</v>
      </c>
      <c r="AC61" s="38">
        <v>0</v>
      </c>
    </row>
    <row r="62" spans="1:32" s="2" customFormat="1" ht="26.1" hidden="1" customHeight="1">
      <c r="A62" s="8">
        <v>90</v>
      </c>
      <c r="B62" s="7"/>
      <c r="C62" s="132"/>
      <c r="D62" s="41"/>
      <c r="E62" s="323"/>
      <c r="F62" s="121">
        <v>50</v>
      </c>
      <c r="G62" s="325"/>
      <c r="H62" s="382">
        <f t="shared" si="22"/>
        <v>22.679600000000001</v>
      </c>
      <c r="I62" s="384"/>
      <c r="J62" s="401"/>
      <c r="K62" s="387"/>
      <c r="L62" s="561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8">
        <v>0</v>
      </c>
      <c r="AC62" s="38">
        <v>0</v>
      </c>
    </row>
    <row r="63" spans="1:32" s="2" customFormat="1" ht="26.1" hidden="1" customHeight="1">
      <c r="A63" s="8">
        <v>91</v>
      </c>
      <c r="B63" s="7"/>
      <c r="C63" s="132"/>
      <c r="D63" s="41"/>
      <c r="E63" s="323"/>
      <c r="F63" s="121">
        <v>50</v>
      </c>
      <c r="G63" s="325"/>
      <c r="H63" s="382">
        <f t="shared" si="22"/>
        <v>22.679600000000001</v>
      </c>
      <c r="I63" s="384"/>
      <c r="J63" s="401"/>
      <c r="K63" s="387"/>
      <c r="L63" s="561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8">
        <v>0</v>
      </c>
      <c r="AC63" s="38">
        <v>0</v>
      </c>
    </row>
    <row r="64" spans="1:32" s="2" customFormat="1" ht="26.1" hidden="1" customHeight="1">
      <c r="A64" s="8">
        <v>92</v>
      </c>
      <c r="B64" s="7"/>
      <c r="C64" s="132"/>
      <c r="D64" s="41"/>
      <c r="E64" s="323"/>
      <c r="F64" s="121">
        <v>50</v>
      </c>
      <c r="G64" s="325"/>
      <c r="H64" s="382">
        <f t="shared" si="22"/>
        <v>22.679600000000001</v>
      </c>
      <c r="I64" s="384"/>
      <c r="J64" s="401"/>
      <c r="K64" s="387"/>
      <c r="L64" s="561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8">
        <v>0</v>
      </c>
      <c r="AC64" s="38">
        <v>0</v>
      </c>
    </row>
    <row r="65" spans="1:32" s="2" customFormat="1" ht="26.1" hidden="1" customHeight="1">
      <c r="A65" s="8">
        <v>93</v>
      </c>
      <c r="B65" s="7"/>
      <c r="C65" s="132"/>
      <c r="D65" s="41"/>
      <c r="E65" s="323"/>
      <c r="F65" s="121">
        <v>50</v>
      </c>
      <c r="G65" s="325"/>
      <c r="H65" s="382">
        <f t="shared" si="22"/>
        <v>22.679600000000001</v>
      </c>
      <c r="I65" s="384"/>
      <c r="J65" s="401"/>
      <c r="K65" s="387"/>
      <c r="L65" s="561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8">
        <v>0</v>
      </c>
      <c r="AC65" s="38">
        <v>0</v>
      </c>
    </row>
    <row r="66" spans="1:32" s="2" customFormat="1" ht="26.1" customHeight="1">
      <c r="A66" s="8">
        <v>94</v>
      </c>
      <c r="B66" s="7" t="s">
        <v>293</v>
      </c>
      <c r="C66" s="132"/>
      <c r="D66" s="41"/>
      <c r="E66" s="323"/>
      <c r="F66" s="121">
        <v>50</v>
      </c>
      <c r="G66" s="325"/>
      <c r="H66" s="382">
        <f t="shared" si="22"/>
        <v>22.679600000000001</v>
      </c>
      <c r="I66" s="384"/>
      <c r="J66" s="401"/>
      <c r="K66" s="387"/>
      <c r="L66" s="561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8">
        <v>0</v>
      </c>
      <c r="AC66" s="38">
        <v>0</v>
      </c>
    </row>
    <row r="67" spans="1:32" s="2" customFormat="1" ht="26.1" hidden="1" customHeight="1">
      <c r="A67" s="8">
        <v>95</v>
      </c>
      <c r="B67" s="7" t="s">
        <v>51</v>
      </c>
      <c r="C67" s="132"/>
      <c r="D67" s="41"/>
      <c r="E67" s="323"/>
      <c r="F67" s="121">
        <v>50</v>
      </c>
      <c r="G67" s="325"/>
      <c r="H67" s="382">
        <f t="shared" si="22"/>
        <v>22.679600000000001</v>
      </c>
      <c r="I67" s="384"/>
      <c r="J67" s="401"/>
      <c r="K67" s="387"/>
      <c r="L67" s="561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8">
        <v>0</v>
      </c>
      <c r="AC67" s="38">
        <v>0</v>
      </c>
    </row>
    <row r="68" spans="1:32" s="2" customFormat="1" ht="26.1" customHeight="1">
      <c r="A68" s="8">
        <v>96</v>
      </c>
      <c r="B68" s="7" t="s">
        <v>52</v>
      </c>
      <c r="C68" s="132"/>
      <c r="D68" s="41"/>
      <c r="E68" s="323"/>
      <c r="F68" s="121">
        <v>50</v>
      </c>
      <c r="G68" s="325"/>
      <c r="H68" s="382">
        <f t="shared" si="22"/>
        <v>22.679600000000001</v>
      </c>
      <c r="I68" s="384"/>
      <c r="J68" s="401"/>
      <c r="K68" s="387"/>
      <c r="L68" s="561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8">
        <v>0</v>
      </c>
      <c r="AC68" s="38">
        <v>0</v>
      </c>
    </row>
    <row r="69" spans="1:32" s="2" customFormat="1" ht="26.1" customHeight="1">
      <c r="A69" s="8">
        <v>97</v>
      </c>
      <c r="B69" s="7" t="s">
        <v>53</v>
      </c>
      <c r="C69" s="132"/>
      <c r="D69" s="41"/>
      <c r="E69" s="323"/>
      <c r="F69" s="121">
        <v>50</v>
      </c>
      <c r="G69" s="325"/>
      <c r="H69" s="382">
        <f t="shared" si="22"/>
        <v>22.679600000000001</v>
      </c>
      <c r="I69" s="384"/>
      <c r="J69" s="401"/>
      <c r="K69" s="387"/>
      <c r="L69" s="561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8">
        <v>0</v>
      </c>
      <c r="AC69" s="38">
        <v>0</v>
      </c>
    </row>
    <row r="70" spans="1:32" s="2" customFormat="1" ht="26.1" customHeight="1">
      <c r="A70" s="8">
        <v>98</v>
      </c>
      <c r="B70" s="7" t="s">
        <v>54</v>
      </c>
      <c r="C70" s="132"/>
      <c r="D70" s="41"/>
      <c r="E70" s="323"/>
      <c r="F70" s="121">
        <v>50</v>
      </c>
      <c r="G70" s="325"/>
      <c r="H70" s="382">
        <f t="shared" si="22"/>
        <v>22.679600000000001</v>
      </c>
      <c r="I70" s="384"/>
      <c r="J70" s="401"/>
      <c r="K70" s="387"/>
      <c r="L70" s="561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8">
        <v>0</v>
      </c>
      <c r="AC70" s="38">
        <v>0</v>
      </c>
    </row>
    <row r="71" spans="1:32" s="2" customFormat="1" ht="26.1" customHeight="1" thickBot="1">
      <c r="A71" s="8">
        <v>99</v>
      </c>
      <c r="B71" s="7" t="s">
        <v>55</v>
      </c>
      <c r="C71" s="133"/>
      <c r="D71" s="42"/>
      <c r="E71" s="222"/>
      <c r="F71" s="123">
        <v>50</v>
      </c>
      <c r="G71" s="326"/>
      <c r="H71" s="382">
        <f t="shared" si="22"/>
        <v>22.679600000000001</v>
      </c>
      <c r="I71" s="385"/>
      <c r="J71" s="402"/>
      <c r="K71" s="388"/>
      <c r="L71" s="561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9">
        <v>0</v>
      </c>
      <c r="AC71" s="49">
        <v>0</v>
      </c>
    </row>
    <row r="72" spans="1:32" ht="6" customHeight="1" thickBot="1">
      <c r="B72" s="26"/>
      <c r="C72" s="27"/>
      <c r="D72" s="28"/>
      <c r="E72" s="28"/>
      <c r="F72" s="26"/>
      <c r="G72" s="50"/>
      <c r="H72" s="50"/>
      <c r="I72" s="342"/>
      <c r="J72" s="50"/>
      <c r="K72" s="51"/>
      <c r="L72" s="50"/>
      <c r="M72" s="50"/>
      <c r="N72" s="306"/>
      <c r="O72" s="50"/>
      <c r="P72" s="306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306"/>
    </row>
    <row r="73" spans="1:32" s="2" customFormat="1" ht="26.1" customHeight="1" thickTop="1">
      <c r="A73" s="8">
        <v>100</v>
      </c>
      <c r="B73" s="7"/>
      <c r="C73" s="275" t="s">
        <v>137</v>
      </c>
      <c r="D73" s="214"/>
      <c r="E73" s="221"/>
      <c r="F73" s="395"/>
      <c r="G73" s="327"/>
      <c r="H73" s="395"/>
      <c r="I73" s="394"/>
      <c r="J73" s="398"/>
      <c r="K73" s="390"/>
      <c r="L73" s="216"/>
      <c r="M73" s="217"/>
      <c r="N73" s="217"/>
      <c r="O73" s="216"/>
      <c r="P73" s="216"/>
      <c r="Q73" s="218"/>
      <c r="R73" s="218"/>
      <c r="S73" s="218"/>
      <c r="T73" s="219"/>
      <c r="U73" s="219"/>
      <c r="V73" s="219"/>
      <c r="W73" s="219"/>
      <c r="X73" s="219"/>
      <c r="Y73" s="218"/>
      <c r="Z73" s="218"/>
      <c r="AA73" s="218"/>
      <c r="AB73" s="220"/>
      <c r="AC73" s="220"/>
      <c r="AD73" s="1"/>
      <c r="AE73" s="1"/>
      <c r="AF73" s="1"/>
    </row>
    <row r="74" spans="1:32" s="2" customFormat="1" ht="26.1" customHeight="1" thickBot="1">
      <c r="A74" s="8">
        <v>101</v>
      </c>
      <c r="B74" s="7"/>
      <c r="C74" s="307" t="s">
        <v>59</v>
      </c>
      <c r="D74" s="53"/>
      <c r="E74" s="330"/>
      <c r="F74" s="162"/>
      <c r="G74" s="265"/>
      <c r="H74" s="162"/>
      <c r="I74" s="389"/>
      <c r="J74" s="399"/>
      <c r="K74" s="391"/>
      <c r="L74" s="55"/>
      <c r="M74" s="55"/>
      <c r="N74" s="55"/>
      <c r="O74" s="55"/>
      <c r="P74" s="55"/>
      <c r="Q74" s="56"/>
      <c r="R74" s="56"/>
      <c r="S74" s="56"/>
      <c r="T74" s="57"/>
      <c r="U74" s="57"/>
      <c r="V74" s="57"/>
      <c r="W74" s="57"/>
      <c r="X74" s="56"/>
      <c r="Y74" s="56"/>
      <c r="Z74" s="56"/>
      <c r="AA74" s="56"/>
      <c r="AB74" s="58"/>
      <c r="AC74" s="52"/>
    </row>
    <row r="75" spans="1:32" s="2" customFormat="1" ht="26.1" hidden="1" customHeight="1" thickBot="1">
      <c r="A75" s="8"/>
      <c r="B75" s="7"/>
      <c r="C75" s="328"/>
      <c r="D75" s="264"/>
      <c r="E75" s="222"/>
      <c r="F75" s="329"/>
      <c r="G75" s="265"/>
      <c r="H75" s="266"/>
      <c r="I75" s="266"/>
      <c r="J75" s="266"/>
      <c r="K75" s="267"/>
      <c r="L75" s="268"/>
      <c r="M75" s="268"/>
      <c r="N75" s="268"/>
      <c r="O75" s="268"/>
      <c r="P75" s="268"/>
      <c r="Q75" s="269"/>
      <c r="R75" s="269"/>
      <c r="S75" s="269"/>
      <c r="T75" s="270"/>
      <c r="U75" s="270"/>
      <c r="V75" s="270"/>
      <c r="W75" s="270"/>
      <c r="X75" s="269"/>
      <c r="Y75" s="269"/>
      <c r="Z75" s="269"/>
      <c r="AA75" s="269"/>
      <c r="AB75" s="271"/>
      <c r="AC75" s="58"/>
    </row>
    <row r="76" spans="1:32" ht="13.5" thickTop="1"/>
  </sheetData>
  <sheetProtection algorithmName="SHA-512" hashValue="24oXcY0cSHGcgwmVzb4GkNiUcvSZPWgpvDs8hqmMFGNLo3MfFIlUSQOk1q83CgBg6JSnY1OUe8SbuNyqCQUZiA==" saltValue="7fV640hWGZL01kvVT/WW8Q==" spinCount="100000" sheet="1" selectLockedCells="1"/>
  <sortState ref="A2:Y27">
    <sortCondition ref="A2:A27"/>
  </sortState>
  <customSheetViews>
    <customSheetView guid="{F1651EBB-9323-409D-980E-CBA49ADEAE68}" scale="86" showPageBreaks="1" fitToPage="1" printArea="1" hiddenColumns="1" topLeftCell="B1">
      <selection activeCell="B1" sqref="B1"/>
      <pageMargins left="0.7" right="0.7" top="0.75" bottom="0.75" header="0.3" footer="0.3"/>
      <pageSetup scale="41" orientation="landscape" r:id="rId1"/>
    </customSheetView>
  </customSheetViews>
  <mergeCells count="1">
    <mergeCell ref="L1:AB1"/>
  </mergeCells>
  <conditionalFormatting sqref="L73:AB75 E52:E71 L35:M36 L52:L63 L66:L71 O35:O36 L3:L26 L48:M50 O48:O49 Q48:AB50 W52:AB63 W66:AB71 Q35:AB36 L28:L33 AA28:AB33 AA3:AB26 L16:AA16">
    <cfRule type="colorScale" priority="229">
      <colorScale>
        <cfvo type="num" val="0"/>
        <cfvo type="num" val="1E-13"/>
        <color theme="0" tint="-4.9989318521683403E-2"/>
        <color rgb="FFCCFFCC"/>
      </colorScale>
    </cfRule>
  </conditionalFormatting>
  <conditionalFormatting sqref="K35:K36 K48:K50 K3:K26 K28:K33">
    <cfRule type="colorScale" priority="232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233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234">
      <colorScale>
        <cfvo type="min"/>
        <cfvo type="max"/>
        <color rgb="FFFF0000"/>
        <color rgb="FF0000FF"/>
      </colorScale>
    </cfRule>
  </conditionalFormatting>
  <conditionalFormatting sqref="K52:K54">
    <cfRule type="colorScale" priority="222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223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224">
      <colorScale>
        <cfvo type="min"/>
        <cfvo type="max"/>
        <color rgb="FFFF0000"/>
        <color rgb="FF0000FF"/>
      </colorScale>
    </cfRule>
  </conditionalFormatting>
  <conditionalFormatting sqref="K55:K63 K66:K71">
    <cfRule type="colorScale" priority="218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219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220">
      <colorScale>
        <cfvo type="min"/>
        <cfvo type="max"/>
        <color rgb="FFFF0000"/>
        <color rgb="FF0000FF"/>
      </colorScale>
    </cfRule>
  </conditionalFormatting>
  <conditionalFormatting sqref="K73:K75">
    <cfRule type="colorScale" priority="207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208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209">
      <colorScale>
        <cfvo type="min"/>
        <cfvo type="max"/>
        <color rgb="FFFF0000"/>
        <color rgb="FF0000FF"/>
      </colorScale>
    </cfRule>
  </conditionalFormatting>
  <conditionalFormatting sqref="K48:K50">
    <cfRule type="colorScale" priority="203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204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205">
      <colorScale>
        <cfvo type="min"/>
        <cfvo type="max"/>
        <color rgb="FFFF0000"/>
        <color rgb="FF0000FF"/>
      </colorScale>
    </cfRule>
  </conditionalFormatting>
  <conditionalFormatting sqref="L48:M50 O48:O49 Q48:AB50">
    <cfRule type="notContainsBlanks" dxfId="188" priority="202">
      <formula>LEN(TRIM(L48))&gt;0</formula>
    </cfRule>
  </conditionalFormatting>
  <conditionalFormatting sqref="E73:E75">
    <cfRule type="colorScale" priority="201">
      <colorScale>
        <cfvo type="num" val="0"/>
        <cfvo type="num" val="1E-13"/>
        <color rgb="FFEAEAEA"/>
        <color rgb="FFCCFFCC"/>
      </colorScale>
    </cfRule>
  </conditionalFormatting>
  <conditionalFormatting sqref="K73:K75">
    <cfRule type="colorScale" priority="198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199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200">
      <colorScale>
        <cfvo type="min"/>
        <cfvo type="max"/>
        <color rgb="FFFF0000"/>
        <color rgb="FF0000FF"/>
      </colorScale>
    </cfRule>
  </conditionalFormatting>
  <conditionalFormatting sqref="E50">
    <cfRule type="colorScale" priority="191">
      <colorScale>
        <cfvo type="num" val="0"/>
        <cfvo type="num" val="1E-13"/>
        <color rgb="FFEAEAEA"/>
        <color rgb="FFCCFFCC"/>
      </colorScale>
    </cfRule>
  </conditionalFormatting>
  <conditionalFormatting sqref="Q37:AB37 L37">
    <cfRule type="colorScale" priority="187">
      <colorScale>
        <cfvo type="num" val="0"/>
        <cfvo type="num" val="1E-13"/>
        <color rgb="FFEAEAEA"/>
        <color rgb="FFCCFFCC"/>
      </colorScale>
    </cfRule>
  </conditionalFormatting>
  <conditionalFormatting sqref="K37">
    <cfRule type="colorScale" priority="188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189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190">
      <colorScale>
        <cfvo type="min"/>
        <cfvo type="max"/>
        <color rgb="FFFF0000"/>
        <color rgb="FF0000FF"/>
      </colorScale>
    </cfRule>
  </conditionalFormatting>
  <conditionalFormatting sqref="O37">
    <cfRule type="colorScale" priority="186">
      <colorScale>
        <cfvo type="num" val="0"/>
        <cfvo type="num" val="1E-13"/>
        <color rgb="FFEAEAEA"/>
        <color rgb="FFCCFFCC"/>
      </colorScale>
    </cfRule>
  </conditionalFormatting>
  <conditionalFormatting sqref="L38:M38 O38 Q38:AB38">
    <cfRule type="colorScale" priority="182">
      <colorScale>
        <cfvo type="num" val="0"/>
        <cfvo type="num" val="1E-13"/>
        <color rgb="FFEAEAEA"/>
        <color rgb="FFCCFFCC"/>
      </colorScale>
    </cfRule>
  </conditionalFormatting>
  <conditionalFormatting sqref="K38:K39">
    <cfRule type="colorScale" priority="183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184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185">
      <colorScale>
        <cfvo type="min"/>
        <cfvo type="max"/>
        <color rgb="FFFF0000"/>
        <color rgb="FF0000FF"/>
      </colorScale>
    </cfRule>
  </conditionalFormatting>
  <conditionalFormatting sqref="M37">
    <cfRule type="colorScale" priority="181">
      <colorScale>
        <cfvo type="num" val="0"/>
        <cfvo type="num" val="1E-13"/>
        <color rgb="FFEAEAEA"/>
        <color rgb="FFCCFFCC"/>
      </colorScale>
    </cfRule>
  </conditionalFormatting>
  <conditionalFormatting sqref="L39:M39 O39 Q39:AB39">
    <cfRule type="colorScale" priority="180">
      <colorScale>
        <cfvo type="num" val="0"/>
        <cfvo type="num" val="1E-13"/>
        <color rgb="FFEAEAEA"/>
        <color rgb="FFCCFFCC"/>
      </colorScale>
    </cfRule>
  </conditionalFormatting>
  <conditionalFormatting sqref="K40">
    <cfRule type="colorScale" priority="177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178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179">
      <colorScale>
        <cfvo type="min"/>
        <cfvo type="max"/>
        <color rgb="FFFF0000"/>
        <color rgb="FF0000FF"/>
      </colorScale>
    </cfRule>
  </conditionalFormatting>
  <conditionalFormatting sqref="L40:M40 O40 Q40:AB40">
    <cfRule type="colorScale" priority="176">
      <colorScale>
        <cfvo type="num" val="0"/>
        <cfvo type="num" val="1E-13"/>
        <color rgb="FFEAEAEA"/>
        <color rgb="FFCCFFCC"/>
      </colorScale>
    </cfRule>
  </conditionalFormatting>
  <conditionalFormatting sqref="L64:L65 W64:AB65">
    <cfRule type="colorScale" priority="175">
      <colorScale>
        <cfvo type="num" val="0"/>
        <cfvo type="num" val="1E-13"/>
        <color rgb="FFEAEAEA"/>
        <color rgb="FFCCFFCC"/>
      </colorScale>
    </cfRule>
  </conditionalFormatting>
  <conditionalFormatting sqref="K64:K65">
    <cfRule type="colorScale" priority="172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173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174">
      <colorScale>
        <cfvo type="min"/>
        <cfvo type="max"/>
        <color rgb="FFFF0000"/>
        <color rgb="FF0000FF"/>
      </colorScale>
    </cfRule>
  </conditionalFormatting>
  <conditionalFormatting sqref="P35:P40">
    <cfRule type="colorScale" priority="154">
      <colorScale>
        <cfvo type="num" val="0"/>
        <cfvo type="num" val="1E-13"/>
        <color theme="0" tint="-4.9989318521683403E-2"/>
        <color rgb="FFCCFFCC"/>
      </colorScale>
    </cfRule>
  </conditionalFormatting>
  <conditionalFormatting sqref="P35:P40">
    <cfRule type="colorScale" priority="153">
      <colorScale>
        <cfvo type="num" val="0"/>
        <cfvo type="num" val="1E-13"/>
        <color theme="0" tint="-4.9989318521683403E-2"/>
        <color rgb="FFCCFFFF"/>
      </colorScale>
    </cfRule>
  </conditionalFormatting>
  <conditionalFormatting sqref="P35">
    <cfRule type="colorScale" priority="152">
      <colorScale>
        <cfvo type="num" val="0"/>
        <cfvo type="num" val="1E-13"/>
        <color theme="0" tint="-4.9989318521683403E-2"/>
        <color rgb="FFCCFFFF"/>
      </colorScale>
    </cfRule>
  </conditionalFormatting>
  <conditionalFormatting sqref="P36">
    <cfRule type="colorScale" priority="151">
      <colorScale>
        <cfvo type="num" val="0"/>
        <cfvo type="num" val="1E-13"/>
        <color theme="0" tint="-4.9989318521683403E-2"/>
        <color rgb="FFCCFFFF"/>
      </colorScale>
    </cfRule>
  </conditionalFormatting>
  <conditionalFormatting sqref="P37:P40">
    <cfRule type="colorScale" priority="150">
      <colorScale>
        <cfvo type="num" val="0"/>
        <cfvo type="num" val="1E-13"/>
        <color theme="0" tint="-4.9989318521683403E-2"/>
        <color rgb="FFCCFFFF"/>
      </colorScale>
    </cfRule>
  </conditionalFormatting>
  <conditionalFormatting sqref="P37:P40">
    <cfRule type="colorScale" priority="149">
      <colorScale>
        <cfvo type="num" val="0"/>
        <cfvo type="num" val="1E-13"/>
        <color theme="0" tint="-4.9989318521683403E-2"/>
        <color rgb="FFCCFFFF"/>
      </colorScale>
    </cfRule>
  </conditionalFormatting>
  <conditionalFormatting sqref="P37">
    <cfRule type="colorScale" priority="148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5:N40">
    <cfRule type="colorScale" priority="147">
      <colorScale>
        <cfvo type="num" val="0"/>
        <cfvo type="num" val="1E-13"/>
        <color theme="0" tint="-4.9989318521683403E-2"/>
        <color rgb="FFCCFFCC"/>
      </colorScale>
    </cfRule>
  </conditionalFormatting>
  <conditionalFormatting sqref="N35:N40">
    <cfRule type="colorScale" priority="146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5">
    <cfRule type="colorScale" priority="145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6">
    <cfRule type="colorScale" priority="144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7:N40">
    <cfRule type="colorScale" priority="143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7:N40">
    <cfRule type="colorScale" priority="142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7">
    <cfRule type="colorScale" priority="141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73:AC75 AC52:AC63 AC66:AC71 AC4 AC6">
    <cfRule type="colorScale" priority="138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64:AC65">
    <cfRule type="colorScale" priority="132">
      <colorScale>
        <cfvo type="num" val="0"/>
        <cfvo type="num" val="1E-13"/>
        <color rgb="FFEAEAEA"/>
        <color rgb="FFCCFFCC"/>
      </colorScale>
    </cfRule>
  </conditionalFormatting>
  <conditionalFormatting sqref="AC3">
    <cfRule type="colorScale" priority="131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3">
    <cfRule type="colorScale" priority="130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3">
    <cfRule type="colorScale" priority="129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5">
    <cfRule type="colorScale" priority="128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5">
    <cfRule type="colorScale" priority="127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5">
    <cfRule type="colorScale" priority="126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7:AC26 AC28:AC33">
    <cfRule type="colorScale" priority="125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7:AC26 AC28:AC33">
    <cfRule type="colorScale" priority="124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7:AC26 AC28:AC33">
    <cfRule type="colorScale" priority="123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36:AC40">
    <cfRule type="colorScale" priority="122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36:AC40">
    <cfRule type="colorScale" priority="121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36:AC40">
    <cfRule type="colorScale" priority="120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35">
    <cfRule type="colorScale" priority="119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35">
    <cfRule type="colorScale" priority="118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35">
    <cfRule type="colorScale" priority="117">
      <colorScale>
        <cfvo type="num" val="0"/>
        <cfvo type="num" val="1E-13"/>
        <color theme="0" tint="-4.9989318521683403E-2"/>
        <color rgb="FFCCFFFF"/>
      </colorScale>
    </cfRule>
  </conditionalFormatting>
  <conditionalFormatting sqref="N37:N40">
    <cfRule type="colorScale" priority="116">
      <colorScale>
        <cfvo type="num" val="0"/>
        <cfvo type="num" val="1E-13"/>
        <color theme="0" tint="-4.9989318521683403E-2"/>
        <color rgb="FFCCFFFF"/>
      </colorScale>
    </cfRule>
  </conditionalFormatting>
  <conditionalFormatting sqref="P37:P40">
    <cfRule type="colorScale" priority="113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8:AC50">
    <cfRule type="colorScale" priority="110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48:AC50">
    <cfRule type="colorScale" priority="109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8:AC50">
    <cfRule type="colorScale" priority="108">
      <colorScale>
        <cfvo type="num" val="0"/>
        <cfvo type="num" val="1E-13"/>
        <color theme="0" tint="-4.9989318521683403E-2"/>
        <color rgb="FFCCFFFF"/>
      </colorScale>
    </cfRule>
  </conditionalFormatting>
  <conditionalFormatting sqref="K41:K43 K45">
    <cfRule type="colorScale" priority="85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86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87">
      <colorScale>
        <cfvo type="min"/>
        <cfvo type="max"/>
        <color rgb="FFFF0000"/>
        <color rgb="FF0000FF"/>
      </colorScale>
    </cfRule>
  </conditionalFormatting>
  <conditionalFormatting sqref="L41:M43 O41:O43 Q41:AB43 Q45:AB45 O45 L45:M45">
    <cfRule type="colorScale" priority="84">
      <colorScale>
        <cfvo type="num" val="0"/>
        <cfvo type="num" val="1E-13"/>
        <color rgb="FFEAEAEA"/>
        <color rgb="FFCCFFCC"/>
      </colorScale>
    </cfRule>
  </conditionalFormatting>
  <conditionalFormatting sqref="P41:P43 P45">
    <cfRule type="colorScale" priority="83">
      <colorScale>
        <cfvo type="num" val="0"/>
        <cfvo type="num" val="1E-13"/>
        <color theme="0" tint="-4.9989318521683403E-2"/>
        <color rgb="FFCCFFCC"/>
      </colorScale>
    </cfRule>
  </conditionalFormatting>
  <conditionalFormatting sqref="P41:P43 P45">
    <cfRule type="colorScale" priority="82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1:P43 P45">
    <cfRule type="colorScale" priority="81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1:P43 P45">
    <cfRule type="colorScale" priority="80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1:N43 N45">
    <cfRule type="colorScale" priority="79">
      <colorScale>
        <cfvo type="num" val="0"/>
        <cfvo type="num" val="1E-13"/>
        <color theme="0" tint="-4.9989318521683403E-2"/>
        <color rgb="FFCCFFCC"/>
      </colorScale>
    </cfRule>
  </conditionalFormatting>
  <conditionalFormatting sqref="N41:N43 N45">
    <cfRule type="colorScale" priority="78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1:N43 N45">
    <cfRule type="colorScale" priority="77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1:N43 N45">
    <cfRule type="colorScale" priority="76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1:AC43 AC45">
    <cfRule type="colorScale" priority="75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41:AC43 AC45">
    <cfRule type="colorScale" priority="74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1:AC43 AC45">
    <cfRule type="colorScale" priority="73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1:N43 N45">
    <cfRule type="colorScale" priority="72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1:P43 P45">
    <cfRule type="colorScale" priority="71">
      <colorScale>
        <cfvo type="num" val="0"/>
        <cfvo type="num" val="1E-13"/>
        <color theme="0" tint="-4.9989318521683403E-2"/>
        <color rgb="FFCCFFFF"/>
      </colorScale>
    </cfRule>
  </conditionalFormatting>
  <conditionalFormatting sqref="K44">
    <cfRule type="colorScale" priority="68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69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70">
      <colorScale>
        <cfvo type="min"/>
        <cfvo type="max"/>
        <color rgb="FFFF0000"/>
        <color rgb="FF0000FF"/>
      </colorScale>
    </cfRule>
  </conditionalFormatting>
  <conditionalFormatting sqref="L44:M44 O44 Q44:AB44">
    <cfRule type="colorScale" priority="67">
      <colorScale>
        <cfvo type="num" val="0"/>
        <cfvo type="num" val="1E-13"/>
        <color rgb="FFEAEAEA"/>
        <color rgb="FFCCFFCC"/>
      </colorScale>
    </cfRule>
  </conditionalFormatting>
  <conditionalFormatting sqref="P44">
    <cfRule type="colorScale" priority="66">
      <colorScale>
        <cfvo type="num" val="0"/>
        <cfvo type="num" val="1E-13"/>
        <color theme="0" tint="-4.9989318521683403E-2"/>
        <color rgb="FFCCFFCC"/>
      </colorScale>
    </cfRule>
  </conditionalFormatting>
  <conditionalFormatting sqref="P44">
    <cfRule type="colorScale" priority="65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4">
    <cfRule type="colorScale" priority="64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4">
    <cfRule type="colorScale" priority="63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4">
    <cfRule type="colorScale" priority="62">
      <colorScale>
        <cfvo type="num" val="0"/>
        <cfvo type="num" val="1E-13"/>
        <color theme="0" tint="-4.9989318521683403E-2"/>
        <color rgb="FFCCFFCC"/>
      </colorScale>
    </cfRule>
  </conditionalFormatting>
  <conditionalFormatting sqref="N44">
    <cfRule type="colorScale" priority="61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4">
    <cfRule type="colorScale" priority="60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4">
    <cfRule type="colorScale" priority="59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4">
    <cfRule type="colorScale" priority="58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44">
    <cfRule type="colorScale" priority="57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4">
    <cfRule type="colorScale" priority="56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4">
    <cfRule type="colorScale" priority="55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4">
    <cfRule type="colorScale" priority="54">
      <colorScale>
        <cfvo type="num" val="0"/>
        <cfvo type="num" val="1E-13"/>
        <color theme="0" tint="-4.9989318521683403E-2"/>
        <color rgb="FFCCFFFF"/>
      </colorScale>
    </cfRule>
  </conditionalFormatting>
  <conditionalFormatting sqref="K46">
    <cfRule type="colorScale" priority="51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52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53">
      <colorScale>
        <cfvo type="min"/>
        <cfvo type="max"/>
        <color rgb="FFFF0000"/>
        <color rgb="FF0000FF"/>
      </colorScale>
    </cfRule>
  </conditionalFormatting>
  <conditionalFormatting sqref="Q46:AB46 O46 L46:M46">
    <cfRule type="colorScale" priority="50">
      <colorScale>
        <cfvo type="num" val="0"/>
        <cfvo type="num" val="1E-13"/>
        <color rgb="FFEAEAEA"/>
        <color rgb="FFCCFFCC"/>
      </colorScale>
    </cfRule>
  </conditionalFormatting>
  <conditionalFormatting sqref="P46">
    <cfRule type="colorScale" priority="49">
      <colorScale>
        <cfvo type="num" val="0"/>
        <cfvo type="num" val="1E-13"/>
        <color theme="0" tint="-4.9989318521683403E-2"/>
        <color rgb="FFCCFFCC"/>
      </colorScale>
    </cfRule>
  </conditionalFormatting>
  <conditionalFormatting sqref="P46">
    <cfRule type="colorScale" priority="48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6">
    <cfRule type="colorScale" priority="47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6">
    <cfRule type="colorScale" priority="46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6">
    <cfRule type="colorScale" priority="45">
      <colorScale>
        <cfvo type="num" val="0"/>
        <cfvo type="num" val="1E-13"/>
        <color theme="0" tint="-4.9989318521683403E-2"/>
        <color rgb="FFCCFFCC"/>
      </colorScale>
    </cfRule>
  </conditionalFormatting>
  <conditionalFormatting sqref="N46">
    <cfRule type="colorScale" priority="44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6">
    <cfRule type="colorScale" priority="43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6">
    <cfRule type="colorScale" priority="42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6">
    <cfRule type="colorScale" priority="41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46">
    <cfRule type="colorScale" priority="40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46">
    <cfRule type="colorScale" priority="39">
      <colorScale>
        <cfvo type="num" val="0"/>
        <cfvo type="num" val="1E-13"/>
        <color theme="0" tint="-4.9989318521683403E-2"/>
        <color rgb="FFCCFFFF"/>
      </colorScale>
    </cfRule>
  </conditionalFormatting>
  <conditionalFormatting sqref="N46">
    <cfRule type="colorScale" priority="38">
      <colorScale>
        <cfvo type="num" val="0"/>
        <cfvo type="num" val="1E-13"/>
        <color theme="0" tint="-4.9989318521683403E-2"/>
        <color rgb="FFCCFFFF"/>
      </colorScale>
    </cfRule>
  </conditionalFormatting>
  <conditionalFormatting sqref="P46">
    <cfRule type="colorScale" priority="37">
      <colorScale>
        <cfvo type="num" val="0"/>
        <cfvo type="num" val="1E-13"/>
        <color theme="0" tint="-4.9989318521683403E-2"/>
        <color rgb="FFCCFFFF"/>
      </colorScale>
    </cfRule>
  </conditionalFormatting>
  <conditionalFormatting sqref="AB27 L27">
    <cfRule type="colorScale" priority="33">
      <colorScale>
        <cfvo type="num" val="0"/>
        <cfvo type="num" val="1E-13"/>
        <color theme="0" tint="-4.9989318521683403E-2"/>
        <color rgb="FFCCFFCC"/>
      </colorScale>
    </cfRule>
  </conditionalFormatting>
  <conditionalFormatting sqref="K27">
    <cfRule type="colorScale" priority="34">
      <colorScale>
        <cfvo type="num" val="0"/>
        <cfvo type="num" val="7"/>
        <cfvo type="num" val="14"/>
        <color theme="5"/>
        <color theme="0" tint="-0.14999847407452621"/>
        <color theme="4"/>
      </colorScale>
    </cfRule>
    <cfRule type="colorScale" priority="35">
      <colorScale>
        <cfvo type="num" val="0"/>
        <cfvo type="num" val="7"/>
        <cfvo type="num" val="14"/>
        <color rgb="FFF8696B"/>
        <color rgb="FFFFEB84"/>
        <color rgb="FF63BE7B"/>
      </colorScale>
    </cfRule>
    <cfRule type="colorScale" priority="36">
      <colorScale>
        <cfvo type="min"/>
        <cfvo type="max"/>
        <color rgb="FFFF0000"/>
        <color rgb="FF0000FF"/>
      </colorScale>
    </cfRule>
  </conditionalFormatting>
  <conditionalFormatting sqref="AC27">
    <cfRule type="colorScale" priority="25">
      <colorScale>
        <cfvo type="num" val="0"/>
        <cfvo type="num" val="1E-13"/>
        <color theme="0" tint="-4.9989318521683403E-2"/>
        <color rgb="FFCCFFCC"/>
      </colorScale>
    </cfRule>
  </conditionalFormatting>
  <conditionalFormatting sqref="AC27">
    <cfRule type="colorScale" priority="24">
      <colorScale>
        <cfvo type="num" val="0"/>
        <cfvo type="num" val="1E-13"/>
        <color theme="0" tint="-4.9989318521683403E-2"/>
        <color rgb="FFCCFFFF"/>
      </colorScale>
    </cfRule>
  </conditionalFormatting>
  <conditionalFormatting sqref="AC27">
    <cfRule type="colorScale" priority="23">
      <colorScale>
        <cfvo type="num" val="0"/>
        <cfvo type="num" val="1E-13"/>
        <color theme="0" tint="-4.9989318521683403E-2"/>
        <color rgb="FFCCFFFF"/>
      </colorScale>
    </cfRule>
  </conditionalFormatting>
  <conditionalFormatting sqref="AA27">
    <cfRule type="colorScale" priority="15">
      <colorScale>
        <cfvo type="num" val="0"/>
        <cfvo type="num" val="1E-13"/>
        <color theme="0" tint="-4.9989318521683403E-2"/>
        <color rgb="FFCCFFCC"/>
      </colorScale>
    </cfRule>
  </conditionalFormatting>
  <conditionalFormatting sqref="M28:Z33 M3:Z26">
    <cfRule type="colorScale" priority="14">
      <colorScale>
        <cfvo type="num" val="0"/>
        <cfvo type="num" val="1E-13"/>
        <color theme="0" tint="-4.9989318521683403E-2"/>
        <color rgb="FFCCFFCC"/>
      </colorScale>
    </cfRule>
  </conditionalFormatting>
  <conditionalFormatting sqref="M27:Z27">
    <cfRule type="colorScale" priority="13">
      <colorScale>
        <cfvo type="num" val="0"/>
        <cfvo type="num" val="1E-13"/>
        <color theme="0" tint="-4.9989318521683403E-2"/>
        <color rgb="FFCCFFCC"/>
      </colorScale>
    </cfRule>
  </conditionalFormatting>
  <conditionalFormatting sqref="N48">
    <cfRule type="colorScale" priority="12">
      <colorScale>
        <cfvo type="num" val="0"/>
        <cfvo type="num" val="1E-13"/>
        <color theme="0" tint="-4.9989318521683403E-2"/>
        <color rgb="FFCCFFCC"/>
      </colorScale>
    </cfRule>
  </conditionalFormatting>
  <conditionalFormatting sqref="N48">
    <cfRule type="notContainsBlanks" dxfId="187" priority="11">
      <formula>LEN(TRIM(N48))&gt;0</formula>
    </cfRule>
  </conditionalFormatting>
  <conditionalFormatting sqref="N49">
    <cfRule type="colorScale" priority="10">
      <colorScale>
        <cfvo type="num" val="0"/>
        <cfvo type="num" val="1E-13"/>
        <color theme="0" tint="-4.9989318521683403E-2"/>
        <color rgb="FFCCFFCC"/>
      </colorScale>
    </cfRule>
  </conditionalFormatting>
  <conditionalFormatting sqref="N49">
    <cfRule type="notContainsBlanks" dxfId="186" priority="9">
      <formula>LEN(TRIM(N49))&gt;0</formula>
    </cfRule>
  </conditionalFormatting>
  <conditionalFormatting sqref="P48:P49">
    <cfRule type="colorScale" priority="8">
      <colorScale>
        <cfvo type="num" val="0"/>
        <cfvo type="num" val="1E-13"/>
        <color theme="0" tint="-4.9989318521683403E-2"/>
        <color rgb="FFCCFFCC"/>
      </colorScale>
    </cfRule>
  </conditionalFormatting>
  <conditionalFormatting sqref="P48:P49">
    <cfRule type="notContainsBlanks" dxfId="185" priority="7">
      <formula>LEN(TRIM(P48))&gt;0</formula>
    </cfRule>
  </conditionalFormatting>
  <conditionalFormatting sqref="N50:P50">
    <cfRule type="colorScale" priority="6">
      <colorScale>
        <cfvo type="num" val="0"/>
        <cfvo type="num" val="1E-13"/>
        <color theme="0" tint="-4.9989318521683403E-2"/>
        <color rgb="FFCCFFCC"/>
      </colorScale>
    </cfRule>
  </conditionalFormatting>
  <conditionalFormatting sqref="N50:P50">
    <cfRule type="notContainsBlanks" dxfId="184" priority="5">
      <formula>LEN(TRIM(N50))&gt;0</formula>
    </cfRule>
  </conditionalFormatting>
  <conditionalFormatting sqref="M52:V63 M66:V71">
    <cfRule type="colorScale" priority="4">
      <colorScale>
        <cfvo type="num" val="0"/>
        <cfvo type="num" val="1E-13"/>
        <color theme="0" tint="-4.9989318521683403E-2"/>
        <color rgb="FFCCFFCC"/>
      </colorScale>
    </cfRule>
  </conditionalFormatting>
  <conditionalFormatting sqref="M64:V65">
    <cfRule type="colorScale" priority="3">
      <colorScale>
        <cfvo type="num" val="0"/>
        <cfvo type="num" val="1E-13"/>
        <color rgb="FFEAEAEA"/>
        <color rgb="FFCCFFCC"/>
      </colorScale>
    </cfRule>
  </conditionalFormatting>
  <conditionalFormatting sqref="L35:AB44 L52:AB71 L3:AB33">
    <cfRule type="cellIs" dxfId="183" priority="2" operator="greaterThan">
      <formula>0</formula>
    </cfRule>
  </conditionalFormatting>
  <conditionalFormatting sqref="N28">
    <cfRule type="colorScale" priority="1">
      <colorScale>
        <cfvo type="num" val="0"/>
        <cfvo type="num" val="1E-13"/>
        <color theme="0" tint="-4.9989318521683403E-2"/>
        <color rgb="FFCCFFCC"/>
      </colorScale>
    </cfRule>
  </conditionalFormatting>
  <printOptions horizontalCentered="1"/>
  <pageMargins left="0.3" right="0.3" top="1.25" bottom="0.5" header="0.25" footer="0.25"/>
  <pageSetup scale="43" fitToHeight="4" orientation="landscape" r:id="rId2"/>
  <headerFooter>
    <oddHeader>&amp;L&amp;G&amp;C&amp;"Arial,Bold"&amp;24&amp;A&amp;R&amp;"Arial,Bold"&amp;9Page &amp;P of &amp;N</oddHeader>
  </headerFooter>
  <rowBreaks count="1" manualBreakCount="1">
    <brk id="50" min="1" max="27" man="1"/>
  </rowBreaks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195"/>
  <sheetViews>
    <sheetView tabSelected="1" topLeftCell="B1" zoomScaleNormal="100" workbookViewId="0">
      <selection activeCell="C6" sqref="C6:H7"/>
    </sheetView>
  </sheetViews>
  <sheetFormatPr defaultColWidth="6.7109375" defaultRowHeight="15"/>
  <cols>
    <col min="1" max="1" width="3" style="138" customWidth="1"/>
    <col min="2" max="2" width="3.7109375" style="138" customWidth="1"/>
    <col min="3" max="21" width="9.7109375" style="138" customWidth="1"/>
    <col min="22" max="22" width="23.85546875" style="138" customWidth="1"/>
    <col min="23" max="32" width="10.7109375" style="138" customWidth="1"/>
    <col min="33" max="262" width="6.7109375" style="138"/>
    <col min="263" max="265" width="10.7109375" style="138" customWidth="1"/>
    <col min="266" max="266" width="6.7109375" style="138" customWidth="1"/>
    <col min="267" max="270" width="10.7109375" style="138" customWidth="1"/>
    <col min="271" max="271" width="3.7109375" style="138" customWidth="1"/>
    <col min="272" max="279" width="10.7109375" style="138" customWidth="1"/>
    <col min="280" max="518" width="6.7109375" style="138"/>
    <col min="519" max="521" width="10.7109375" style="138" customWidth="1"/>
    <col min="522" max="522" width="6.7109375" style="138" customWidth="1"/>
    <col min="523" max="526" width="10.7109375" style="138" customWidth="1"/>
    <col min="527" max="527" width="3.7109375" style="138" customWidth="1"/>
    <col min="528" max="535" width="10.7109375" style="138" customWidth="1"/>
    <col min="536" max="774" width="6.7109375" style="138"/>
    <col min="775" max="777" width="10.7109375" style="138" customWidth="1"/>
    <col min="778" max="778" width="6.7109375" style="138" customWidth="1"/>
    <col min="779" max="782" width="10.7109375" style="138" customWidth="1"/>
    <col min="783" max="783" width="3.7109375" style="138" customWidth="1"/>
    <col min="784" max="791" width="10.7109375" style="138" customWidth="1"/>
    <col min="792" max="1030" width="6.7109375" style="138"/>
    <col min="1031" max="1033" width="10.7109375" style="138" customWidth="1"/>
    <col min="1034" max="1034" width="6.7109375" style="138" customWidth="1"/>
    <col min="1035" max="1038" width="10.7109375" style="138" customWidth="1"/>
    <col min="1039" max="1039" width="3.7109375" style="138" customWidth="1"/>
    <col min="1040" max="1047" width="10.7109375" style="138" customWidth="1"/>
    <col min="1048" max="1286" width="6.7109375" style="138"/>
    <col min="1287" max="1289" width="10.7109375" style="138" customWidth="1"/>
    <col min="1290" max="1290" width="6.7109375" style="138" customWidth="1"/>
    <col min="1291" max="1294" width="10.7109375" style="138" customWidth="1"/>
    <col min="1295" max="1295" width="3.7109375" style="138" customWidth="1"/>
    <col min="1296" max="1303" width="10.7109375" style="138" customWidth="1"/>
    <col min="1304" max="1542" width="6.7109375" style="138"/>
    <col min="1543" max="1545" width="10.7109375" style="138" customWidth="1"/>
    <col min="1546" max="1546" width="6.7109375" style="138" customWidth="1"/>
    <col min="1547" max="1550" width="10.7109375" style="138" customWidth="1"/>
    <col min="1551" max="1551" width="3.7109375" style="138" customWidth="1"/>
    <col min="1552" max="1559" width="10.7109375" style="138" customWidth="1"/>
    <col min="1560" max="1798" width="6.7109375" style="138"/>
    <col min="1799" max="1801" width="10.7109375" style="138" customWidth="1"/>
    <col min="1802" max="1802" width="6.7109375" style="138" customWidth="1"/>
    <col min="1803" max="1806" width="10.7109375" style="138" customWidth="1"/>
    <col min="1807" max="1807" width="3.7109375" style="138" customWidth="1"/>
    <col min="1808" max="1815" width="10.7109375" style="138" customWidth="1"/>
    <col min="1816" max="2054" width="6.7109375" style="138"/>
    <col min="2055" max="2057" width="10.7109375" style="138" customWidth="1"/>
    <col min="2058" max="2058" width="6.7109375" style="138" customWidth="1"/>
    <col min="2059" max="2062" width="10.7109375" style="138" customWidth="1"/>
    <col min="2063" max="2063" width="3.7109375" style="138" customWidth="1"/>
    <col min="2064" max="2071" width="10.7109375" style="138" customWidth="1"/>
    <col min="2072" max="2310" width="6.7109375" style="138"/>
    <col min="2311" max="2313" width="10.7109375" style="138" customWidth="1"/>
    <col min="2314" max="2314" width="6.7109375" style="138" customWidth="1"/>
    <col min="2315" max="2318" width="10.7109375" style="138" customWidth="1"/>
    <col min="2319" max="2319" width="3.7109375" style="138" customWidth="1"/>
    <col min="2320" max="2327" width="10.7109375" style="138" customWidth="1"/>
    <col min="2328" max="2566" width="6.7109375" style="138"/>
    <col min="2567" max="2569" width="10.7109375" style="138" customWidth="1"/>
    <col min="2570" max="2570" width="6.7109375" style="138" customWidth="1"/>
    <col min="2571" max="2574" width="10.7109375" style="138" customWidth="1"/>
    <col min="2575" max="2575" width="3.7109375" style="138" customWidth="1"/>
    <col min="2576" max="2583" width="10.7109375" style="138" customWidth="1"/>
    <col min="2584" max="2822" width="6.7109375" style="138"/>
    <col min="2823" max="2825" width="10.7109375" style="138" customWidth="1"/>
    <col min="2826" max="2826" width="6.7109375" style="138" customWidth="1"/>
    <col min="2827" max="2830" width="10.7109375" style="138" customWidth="1"/>
    <col min="2831" max="2831" width="3.7109375" style="138" customWidth="1"/>
    <col min="2832" max="2839" width="10.7109375" style="138" customWidth="1"/>
    <col min="2840" max="3078" width="6.7109375" style="138"/>
    <col min="3079" max="3081" width="10.7109375" style="138" customWidth="1"/>
    <col min="3082" max="3082" width="6.7109375" style="138" customWidth="1"/>
    <col min="3083" max="3086" width="10.7109375" style="138" customWidth="1"/>
    <col min="3087" max="3087" width="3.7109375" style="138" customWidth="1"/>
    <col min="3088" max="3095" width="10.7109375" style="138" customWidth="1"/>
    <col min="3096" max="3334" width="6.7109375" style="138"/>
    <col min="3335" max="3337" width="10.7109375" style="138" customWidth="1"/>
    <col min="3338" max="3338" width="6.7109375" style="138" customWidth="1"/>
    <col min="3339" max="3342" width="10.7109375" style="138" customWidth="1"/>
    <col min="3343" max="3343" width="3.7109375" style="138" customWidth="1"/>
    <col min="3344" max="3351" width="10.7109375" style="138" customWidth="1"/>
    <col min="3352" max="3590" width="6.7109375" style="138"/>
    <col min="3591" max="3593" width="10.7109375" style="138" customWidth="1"/>
    <col min="3594" max="3594" width="6.7109375" style="138" customWidth="1"/>
    <col min="3595" max="3598" width="10.7109375" style="138" customWidth="1"/>
    <col min="3599" max="3599" width="3.7109375" style="138" customWidth="1"/>
    <col min="3600" max="3607" width="10.7109375" style="138" customWidth="1"/>
    <col min="3608" max="3846" width="6.7109375" style="138"/>
    <col min="3847" max="3849" width="10.7109375" style="138" customWidth="1"/>
    <col min="3850" max="3850" width="6.7109375" style="138" customWidth="1"/>
    <col min="3851" max="3854" width="10.7109375" style="138" customWidth="1"/>
    <col min="3855" max="3855" width="3.7109375" style="138" customWidth="1"/>
    <col min="3856" max="3863" width="10.7109375" style="138" customWidth="1"/>
    <col min="3864" max="4102" width="6.7109375" style="138"/>
    <col min="4103" max="4105" width="10.7109375" style="138" customWidth="1"/>
    <col min="4106" max="4106" width="6.7109375" style="138" customWidth="1"/>
    <col min="4107" max="4110" width="10.7109375" style="138" customWidth="1"/>
    <col min="4111" max="4111" width="3.7109375" style="138" customWidth="1"/>
    <col min="4112" max="4119" width="10.7109375" style="138" customWidth="1"/>
    <col min="4120" max="4358" width="6.7109375" style="138"/>
    <col min="4359" max="4361" width="10.7109375" style="138" customWidth="1"/>
    <col min="4362" max="4362" width="6.7109375" style="138" customWidth="1"/>
    <col min="4363" max="4366" width="10.7109375" style="138" customWidth="1"/>
    <col min="4367" max="4367" width="3.7109375" style="138" customWidth="1"/>
    <col min="4368" max="4375" width="10.7109375" style="138" customWidth="1"/>
    <col min="4376" max="4614" width="6.7109375" style="138"/>
    <col min="4615" max="4617" width="10.7109375" style="138" customWidth="1"/>
    <col min="4618" max="4618" width="6.7109375" style="138" customWidth="1"/>
    <col min="4619" max="4622" width="10.7109375" style="138" customWidth="1"/>
    <col min="4623" max="4623" width="3.7109375" style="138" customWidth="1"/>
    <col min="4624" max="4631" width="10.7109375" style="138" customWidth="1"/>
    <col min="4632" max="4870" width="6.7109375" style="138"/>
    <col min="4871" max="4873" width="10.7109375" style="138" customWidth="1"/>
    <col min="4874" max="4874" width="6.7109375" style="138" customWidth="1"/>
    <col min="4875" max="4878" width="10.7109375" style="138" customWidth="1"/>
    <col min="4879" max="4879" width="3.7109375" style="138" customWidth="1"/>
    <col min="4880" max="4887" width="10.7109375" style="138" customWidth="1"/>
    <col min="4888" max="5126" width="6.7109375" style="138"/>
    <col min="5127" max="5129" width="10.7109375" style="138" customWidth="1"/>
    <col min="5130" max="5130" width="6.7109375" style="138" customWidth="1"/>
    <col min="5131" max="5134" width="10.7109375" style="138" customWidth="1"/>
    <col min="5135" max="5135" width="3.7109375" style="138" customWidth="1"/>
    <col min="5136" max="5143" width="10.7109375" style="138" customWidth="1"/>
    <col min="5144" max="5382" width="6.7109375" style="138"/>
    <col min="5383" max="5385" width="10.7109375" style="138" customWidth="1"/>
    <col min="5386" max="5386" width="6.7109375" style="138" customWidth="1"/>
    <col min="5387" max="5390" width="10.7109375" style="138" customWidth="1"/>
    <col min="5391" max="5391" width="3.7109375" style="138" customWidth="1"/>
    <col min="5392" max="5399" width="10.7109375" style="138" customWidth="1"/>
    <col min="5400" max="5638" width="6.7109375" style="138"/>
    <col min="5639" max="5641" width="10.7109375" style="138" customWidth="1"/>
    <col min="5642" max="5642" width="6.7109375" style="138" customWidth="1"/>
    <col min="5643" max="5646" width="10.7109375" style="138" customWidth="1"/>
    <col min="5647" max="5647" width="3.7109375" style="138" customWidth="1"/>
    <col min="5648" max="5655" width="10.7109375" style="138" customWidth="1"/>
    <col min="5656" max="5894" width="6.7109375" style="138"/>
    <col min="5895" max="5897" width="10.7109375" style="138" customWidth="1"/>
    <col min="5898" max="5898" width="6.7109375" style="138" customWidth="1"/>
    <col min="5899" max="5902" width="10.7109375" style="138" customWidth="1"/>
    <col min="5903" max="5903" width="3.7109375" style="138" customWidth="1"/>
    <col min="5904" max="5911" width="10.7109375" style="138" customWidth="1"/>
    <col min="5912" max="6150" width="6.7109375" style="138"/>
    <col min="6151" max="6153" width="10.7109375" style="138" customWidth="1"/>
    <col min="6154" max="6154" width="6.7109375" style="138" customWidth="1"/>
    <col min="6155" max="6158" width="10.7109375" style="138" customWidth="1"/>
    <col min="6159" max="6159" width="3.7109375" style="138" customWidth="1"/>
    <col min="6160" max="6167" width="10.7109375" style="138" customWidth="1"/>
    <col min="6168" max="6406" width="6.7109375" style="138"/>
    <col min="6407" max="6409" width="10.7109375" style="138" customWidth="1"/>
    <col min="6410" max="6410" width="6.7109375" style="138" customWidth="1"/>
    <col min="6411" max="6414" width="10.7109375" style="138" customWidth="1"/>
    <col min="6415" max="6415" width="3.7109375" style="138" customWidth="1"/>
    <col min="6416" max="6423" width="10.7109375" style="138" customWidth="1"/>
    <col min="6424" max="6662" width="6.7109375" style="138"/>
    <col min="6663" max="6665" width="10.7109375" style="138" customWidth="1"/>
    <col min="6666" max="6666" width="6.7109375" style="138" customWidth="1"/>
    <col min="6667" max="6670" width="10.7109375" style="138" customWidth="1"/>
    <col min="6671" max="6671" width="3.7109375" style="138" customWidth="1"/>
    <col min="6672" max="6679" width="10.7109375" style="138" customWidth="1"/>
    <col min="6680" max="6918" width="6.7109375" style="138"/>
    <col min="6919" max="6921" width="10.7109375" style="138" customWidth="1"/>
    <col min="6922" max="6922" width="6.7109375" style="138" customWidth="1"/>
    <col min="6923" max="6926" width="10.7109375" style="138" customWidth="1"/>
    <col min="6927" max="6927" width="3.7109375" style="138" customWidth="1"/>
    <col min="6928" max="6935" width="10.7109375" style="138" customWidth="1"/>
    <col min="6936" max="7174" width="6.7109375" style="138"/>
    <col min="7175" max="7177" width="10.7109375" style="138" customWidth="1"/>
    <col min="7178" max="7178" width="6.7109375" style="138" customWidth="1"/>
    <col min="7179" max="7182" width="10.7109375" style="138" customWidth="1"/>
    <col min="7183" max="7183" width="3.7109375" style="138" customWidth="1"/>
    <col min="7184" max="7191" width="10.7109375" style="138" customWidth="1"/>
    <col min="7192" max="7430" width="6.7109375" style="138"/>
    <col min="7431" max="7433" width="10.7109375" style="138" customWidth="1"/>
    <col min="7434" max="7434" width="6.7109375" style="138" customWidth="1"/>
    <col min="7435" max="7438" width="10.7109375" style="138" customWidth="1"/>
    <col min="7439" max="7439" width="3.7109375" style="138" customWidth="1"/>
    <col min="7440" max="7447" width="10.7109375" style="138" customWidth="1"/>
    <col min="7448" max="7686" width="6.7109375" style="138"/>
    <col min="7687" max="7689" width="10.7109375" style="138" customWidth="1"/>
    <col min="7690" max="7690" width="6.7109375" style="138" customWidth="1"/>
    <col min="7691" max="7694" width="10.7109375" style="138" customWidth="1"/>
    <col min="7695" max="7695" width="3.7109375" style="138" customWidth="1"/>
    <col min="7696" max="7703" width="10.7109375" style="138" customWidth="1"/>
    <col min="7704" max="7942" width="6.7109375" style="138"/>
    <col min="7943" max="7945" width="10.7109375" style="138" customWidth="1"/>
    <col min="7946" max="7946" width="6.7109375" style="138" customWidth="1"/>
    <col min="7947" max="7950" width="10.7109375" style="138" customWidth="1"/>
    <col min="7951" max="7951" width="3.7109375" style="138" customWidth="1"/>
    <col min="7952" max="7959" width="10.7109375" style="138" customWidth="1"/>
    <col min="7960" max="8198" width="6.7109375" style="138"/>
    <col min="8199" max="8201" width="10.7109375" style="138" customWidth="1"/>
    <col min="8202" max="8202" width="6.7109375" style="138" customWidth="1"/>
    <col min="8203" max="8206" width="10.7109375" style="138" customWidth="1"/>
    <col min="8207" max="8207" width="3.7109375" style="138" customWidth="1"/>
    <col min="8208" max="8215" width="10.7109375" style="138" customWidth="1"/>
    <col min="8216" max="8454" width="6.7109375" style="138"/>
    <col min="8455" max="8457" width="10.7109375" style="138" customWidth="1"/>
    <col min="8458" max="8458" width="6.7109375" style="138" customWidth="1"/>
    <col min="8459" max="8462" width="10.7109375" style="138" customWidth="1"/>
    <col min="8463" max="8463" width="3.7109375" style="138" customWidth="1"/>
    <col min="8464" max="8471" width="10.7109375" style="138" customWidth="1"/>
    <col min="8472" max="8710" width="6.7109375" style="138"/>
    <col min="8711" max="8713" width="10.7109375" style="138" customWidth="1"/>
    <col min="8714" max="8714" width="6.7109375" style="138" customWidth="1"/>
    <col min="8715" max="8718" width="10.7109375" style="138" customWidth="1"/>
    <col min="8719" max="8719" width="3.7109375" style="138" customWidth="1"/>
    <col min="8720" max="8727" width="10.7109375" style="138" customWidth="1"/>
    <col min="8728" max="8966" width="6.7109375" style="138"/>
    <col min="8967" max="8969" width="10.7109375" style="138" customWidth="1"/>
    <col min="8970" max="8970" width="6.7109375" style="138" customWidth="1"/>
    <col min="8971" max="8974" width="10.7109375" style="138" customWidth="1"/>
    <col min="8975" max="8975" width="3.7109375" style="138" customWidth="1"/>
    <col min="8976" max="8983" width="10.7109375" style="138" customWidth="1"/>
    <col min="8984" max="9222" width="6.7109375" style="138"/>
    <col min="9223" max="9225" width="10.7109375" style="138" customWidth="1"/>
    <col min="9226" max="9226" width="6.7109375" style="138" customWidth="1"/>
    <col min="9227" max="9230" width="10.7109375" style="138" customWidth="1"/>
    <col min="9231" max="9231" width="3.7109375" style="138" customWidth="1"/>
    <col min="9232" max="9239" width="10.7109375" style="138" customWidth="1"/>
    <col min="9240" max="9478" width="6.7109375" style="138"/>
    <col min="9479" max="9481" width="10.7109375" style="138" customWidth="1"/>
    <col min="9482" max="9482" width="6.7109375" style="138" customWidth="1"/>
    <col min="9483" max="9486" width="10.7109375" style="138" customWidth="1"/>
    <col min="9487" max="9487" width="3.7109375" style="138" customWidth="1"/>
    <col min="9488" max="9495" width="10.7109375" style="138" customWidth="1"/>
    <col min="9496" max="9734" width="6.7109375" style="138"/>
    <col min="9735" max="9737" width="10.7109375" style="138" customWidth="1"/>
    <col min="9738" max="9738" width="6.7109375" style="138" customWidth="1"/>
    <col min="9739" max="9742" width="10.7109375" style="138" customWidth="1"/>
    <col min="9743" max="9743" width="3.7109375" style="138" customWidth="1"/>
    <col min="9744" max="9751" width="10.7109375" style="138" customWidth="1"/>
    <col min="9752" max="9990" width="6.7109375" style="138"/>
    <col min="9991" max="9993" width="10.7109375" style="138" customWidth="1"/>
    <col min="9994" max="9994" width="6.7109375" style="138" customWidth="1"/>
    <col min="9995" max="9998" width="10.7109375" style="138" customWidth="1"/>
    <col min="9999" max="9999" width="3.7109375" style="138" customWidth="1"/>
    <col min="10000" max="10007" width="10.7109375" style="138" customWidth="1"/>
    <col min="10008" max="10246" width="6.7109375" style="138"/>
    <col min="10247" max="10249" width="10.7109375" style="138" customWidth="1"/>
    <col min="10250" max="10250" width="6.7109375" style="138" customWidth="1"/>
    <col min="10251" max="10254" width="10.7109375" style="138" customWidth="1"/>
    <col min="10255" max="10255" width="3.7109375" style="138" customWidth="1"/>
    <col min="10256" max="10263" width="10.7109375" style="138" customWidth="1"/>
    <col min="10264" max="10502" width="6.7109375" style="138"/>
    <col min="10503" max="10505" width="10.7109375" style="138" customWidth="1"/>
    <col min="10506" max="10506" width="6.7109375" style="138" customWidth="1"/>
    <col min="10507" max="10510" width="10.7109375" style="138" customWidth="1"/>
    <col min="10511" max="10511" width="3.7109375" style="138" customWidth="1"/>
    <col min="10512" max="10519" width="10.7109375" style="138" customWidth="1"/>
    <col min="10520" max="10758" width="6.7109375" style="138"/>
    <col min="10759" max="10761" width="10.7109375" style="138" customWidth="1"/>
    <col min="10762" max="10762" width="6.7109375" style="138" customWidth="1"/>
    <col min="10763" max="10766" width="10.7109375" style="138" customWidth="1"/>
    <col min="10767" max="10767" width="3.7109375" style="138" customWidth="1"/>
    <col min="10768" max="10775" width="10.7109375" style="138" customWidth="1"/>
    <col min="10776" max="11014" width="6.7109375" style="138"/>
    <col min="11015" max="11017" width="10.7109375" style="138" customWidth="1"/>
    <col min="11018" max="11018" width="6.7109375" style="138" customWidth="1"/>
    <col min="11019" max="11022" width="10.7109375" style="138" customWidth="1"/>
    <col min="11023" max="11023" width="3.7109375" style="138" customWidth="1"/>
    <col min="11024" max="11031" width="10.7109375" style="138" customWidth="1"/>
    <col min="11032" max="11270" width="6.7109375" style="138"/>
    <col min="11271" max="11273" width="10.7109375" style="138" customWidth="1"/>
    <col min="11274" max="11274" width="6.7109375" style="138" customWidth="1"/>
    <col min="11275" max="11278" width="10.7109375" style="138" customWidth="1"/>
    <col min="11279" max="11279" width="3.7109375" style="138" customWidth="1"/>
    <col min="11280" max="11287" width="10.7109375" style="138" customWidth="1"/>
    <col min="11288" max="11526" width="6.7109375" style="138"/>
    <col min="11527" max="11529" width="10.7109375" style="138" customWidth="1"/>
    <col min="11530" max="11530" width="6.7109375" style="138" customWidth="1"/>
    <col min="11531" max="11534" width="10.7109375" style="138" customWidth="1"/>
    <col min="11535" max="11535" width="3.7109375" style="138" customWidth="1"/>
    <col min="11536" max="11543" width="10.7109375" style="138" customWidth="1"/>
    <col min="11544" max="11782" width="6.7109375" style="138"/>
    <col min="11783" max="11785" width="10.7109375" style="138" customWidth="1"/>
    <col min="11786" max="11786" width="6.7109375" style="138" customWidth="1"/>
    <col min="11787" max="11790" width="10.7109375" style="138" customWidth="1"/>
    <col min="11791" max="11791" width="3.7109375" style="138" customWidth="1"/>
    <col min="11792" max="11799" width="10.7109375" style="138" customWidth="1"/>
    <col min="11800" max="12038" width="6.7109375" style="138"/>
    <col min="12039" max="12041" width="10.7109375" style="138" customWidth="1"/>
    <col min="12042" max="12042" width="6.7109375" style="138" customWidth="1"/>
    <col min="12043" max="12046" width="10.7109375" style="138" customWidth="1"/>
    <col min="12047" max="12047" width="3.7109375" style="138" customWidth="1"/>
    <col min="12048" max="12055" width="10.7109375" style="138" customWidth="1"/>
    <col min="12056" max="12294" width="6.7109375" style="138"/>
    <col min="12295" max="12297" width="10.7109375" style="138" customWidth="1"/>
    <col min="12298" max="12298" width="6.7109375" style="138" customWidth="1"/>
    <col min="12299" max="12302" width="10.7109375" style="138" customWidth="1"/>
    <col min="12303" max="12303" width="3.7109375" style="138" customWidth="1"/>
    <col min="12304" max="12311" width="10.7109375" style="138" customWidth="1"/>
    <col min="12312" max="12550" width="6.7109375" style="138"/>
    <col min="12551" max="12553" width="10.7109375" style="138" customWidth="1"/>
    <col min="12554" max="12554" width="6.7109375" style="138" customWidth="1"/>
    <col min="12555" max="12558" width="10.7109375" style="138" customWidth="1"/>
    <col min="12559" max="12559" width="3.7109375" style="138" customWidth="1"/>
    <col min="12560" max="12567" width="10.7109375" style="138" customWidth="1"/>
    <col min="12568" max="12806" width="6.7109375" style="138"/>
    <col min="12807" max="12809" width="10.7109375" style="138" customWidth="1"/>
    <col min="12810" max="12810" width="6.7109375" style="138" customWidth="1"/>
    <col min="12811" max="12814" width="10.7109375" style="138" customWidth="1"/>
    <col min="12815" max="12815" width="3.7109375" style="138" customWidth="1"/>
    <col min="12816" max="12823" width="10.7109375" style="138" customWidth="1"/>
    <col min="12824" max="13062" width="6.7109375" style="138"/>
    <col min="13063" max="13065" width="10.7109375" style="138" customWidth="1"/>
    <col min="13066" max="13066" width="6.7109375" style="138" customWidth="1"/>
    <col min="13067" max="13070" width="10.7109375" style="138" customWidth="1"/>
    <col min="13071" max="13071" width="3.7109375" style="138" customWidth="1"/>
    <col min="13072" max="13079" width="10.7109375" style="138" customWidth="1"/>
    <col min="13080" max="13318" width="6.7109375" style="138"/>
    <col min="13319" max="13321" width="10.7109375" style="138" customWidth="1"/>
    <col min="13322" max="13322" width="6.7109375" style="138" customWidth="1"/>
    <col min="13323" max="13326" width="10.7109375" style="138" customWidth="1"/>
    <col min="13327" max="13327" width="3.7109375" style="138" customWidth="1"/>
    <col min="13328" max="13335" width="10.7109375" style="138" customWidth="1"/>
    <col min="13336" max="13574" width="6.7109375" style="138"/>
    <col min="13575" max="13577" width="10.7109375" style="138" customWidth="1"/>
    <col min="13578" max="13578" width="6.7109375" style="138" customWidth="1"/>
    <col min="13579" max="13582" width="10.7109375" style="138" customWidth="1"/>
    <col min="13583" max="13583" width="3.7109375" style="138" customWidth="1"/>
    <col min="13584" max="13591" width="10.7109375" style="138" customWidth="1"/>
    <col min="13592" max="13830" width="6.7109375" style="138"/>
    <col min="13831" max="13833" width="10.7109375" style="138" customWidth="1"/>
    <col min="13834" max="13834" width="6.7109375" style="138" customWidth="1"/>
    <col min="13835" max="13838" width="10.7109375" style="138" customWidth="1"/>
    <col min="13839" max="13839" width="3.7109375" style="138" customWidth="1"/>
    <col min="13840" max="13847" width="10.7109375" style="138" customWidth="1"/>
    <col min="13848" max="14086" width="6.7109375" style="138"/>
    <col min="14087" max="14089" width="10.7109375" style="138" customWidth="1"/>
    <col min="14090" max="14090" width="6.7109375" style="138" customWidth="1"/>
    <col min="14091" max="14094" width="10.7109375" style="138" customWidth="1"/>
    <col min="14095" max="14095" width="3.7109375" style="138" customWidth="1"/>
    <col min="14096" max="14103" width="10.7109375" style="138" customWidth="1"/>
    <col min="14104" max="14342" width="6.7109375" style="138"/>
    <col min="14343" max="14345" width="10.7109375" style="138" customWidth="1"/>
    <col min="14346" max="14346" width="6.7109375" style="138" customWidth="1"/>
    <col min="14347" max="14350" width="10.7109375" style="138" customWidth="1"/>
    <col min="14351" max="14351" width="3.7109375" style="138" customWidth="1"/>
    <col min="14352" max="14359" width="10.7109375" style="138" customWidth="1"/>
    <col min="14360" max="14598" width="6.7109375" style="138"/>
    <col min="14599" max="14601" width="10.7109375" style="138" customWidth="1"/>
    <col min="14602" max="14602" width="6.7109375" style="138" customWidth="1"/>
    <col min="14603" max="14606" width="10.7109375" style="138" customWidth="1"/>
    <col min="14607" max="14607" width="3.7109375" style="138" customWidth="1"/>
    <col min="14608" max="14615" width="10.7109375" style="138" customWidth="1"/>
    <col min="14616" max="14854" width="6.7109375" style="138"/>
    <col min="14855" max="14857" width="10.7109375" style="138" customWidth="1"/>
    <col min="14858" max="14858" width="6.7109375" style="138" customWidth="1"/>
    <col min="14859" max="14862" width="10.7109375" style="138" customWidth="1"/>
    <col min="14863" max="14863" width="3.7109375" style="138" customWidth="1"/>
    <col min="14864" max="14871" width="10.7109375" style="138" customWidth="1"/>
    <col min="14872" max="15110" width="6.7109375" style="138"/>
    <col min="15111" max="15113" width="10.7109375" style="138" customWidth="1"/>
    <col min="15114" max="15114" width="6.7109375" style="138" customWidth="1"/>
    <col min="15115" max="15118" width="10.7109375" style="138" customWidth="1"/>
    <col min="15119" max="15119" width="3.7109375" style="138" customWidth="1"/>
    <col min="15120" max="15127" width="10.7109375" style="138" customWidth="1"/>
    <col min="15128" max="15366" width="6.7109375" style="138"/>
    <col min="15367" max="15369" width="10.7109375" style="138" customWidth="1"/>
    <col min="15370" max="15370" width="6.7109375" style="138" customWidth="1"/>
    <col min="15371" max="15374" width="10.7109375" style="138" customWidth="1"/>
    <col min="15375" max="15375" width="3.7109375" style="138" customWidth="1"/>
    <col min="15376" max="15383" width="10.7109375" style="138" customWidth="1"/>
    <col min="15384" max="15622" width="6.7109375" style="138"/>
    <col min="15623" max="15625" width="10.7109375" style="138" customWidth="1"/>
    <col min="15626" max="15626" width="6.7109375" style="138" customWidth="1"/>
    <col min="15627" max="15630" width="10.7109375" style="138" customWidth="1"/>
    <col min="15631" max="15631" width="3.7109375" style="138" customWidth="1"/>
    <col min="15632" max="15639" width="10.7109375" style="138" customWidth="1"/>
    <col min="15640" max="15878" width="6.7109375" style="138"/>
    <col min="15879" max="15881" width="10.7109375" style="138" customWidth="1"/>
    <col min="15882" max="15882" width="6.7109375" style="138" customWidth="1"/>
    <col min="15883" max="15886" width="10.7109375" style="138" customWidth="1"/>
    <col min="15887" max="15887" width="3.7109375" style="138" customWidth="1"/>
    <col min="15888" max="15895" width="10.7109375" style="138" customWidth="1"/>
    <col min="15896" max="16134" width="6.7109375" style="138"/>
    <col min="16135" max="16137" width="10.7109375" style="138" customWidth="1"/>
    <col min="16138" max="16138" width="6.7109375" style="138" customWidth="1"/>
    <col min="16139" max="16142" width="10.7109375" style="138" customWidth="1"/>
    <col min="16143" max="16143" width="3.7109375" style="138" customWidth="1"/>
    <col min="16144" max="16151" width="10.7109375" style="138" customWidth="1"/>
    <col min="16152" max="16384" width="6.7109375" style="138"/>
  </cols>
  <sheetData>
    <row r="1" spans="3:32">
      <c r="C1" s="284" t="str">
        <f>VERSION</f>
        <v>version #BRANDT-X02-</v>
      </c>
      <c r="D1" s="283"/>
      <c r="E1" s="356" t="s">
        <v>238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3:32" s="17" customFormat="1" ht="20.100000000000001" customHeight="1" thickBot="1">
      <c r="C2" s="22" t="s">
        <v>43</v>
      </c>
      <c r="D2" s="20"/>
      <c r="E2" s="20"/>
      <c r="F2" s="20"/>
      <c r="G2" s="20"/>
      <c r="H2" s="20"/>
      <c r="I2" s="20"/>
      <c r="J2" s="11" t="s">
        <v>75</v>
      </c>
      <c r="K2" s="12"/>
      <c r="L2" s="12"/>
      <c r="M2" s="20"/>
      <c r="N2" s="11" t="s">
        <v>76</v>
      </c>
      <c r="O2" s="12"/>
      <c r="P2" s="12"/>
      <c r="Q2" s="14"/>
      <c r="R2" s="14"/>
      <c r="S2" s="14"/>
      <c r="T2" s="14"/>
      <c r="U2" s="14"/>
      <c r="W2" s="25"/>
      <c r="AD2" s="25"/>
      <c r="AE2" s="25"/>
      <c r="AF2" s="25"/>
    </row>
    <row r="3" spans="3:32" s="17" customFormat="1" ht="20.100000000000001" customHeight="1">
      <c r="C3" s="642"/>
      <c r="D3" s="643"/>
      <c r="E3" s="643"/>
      <c r="F3" s="643"/>
      <c r="G3" s="643"/>
      <c r="H3" s="644"/>
      <c r="I3" s="134"/>
      <c r="J3" s="636"/>
      <c r="K3" s="637"/>
      <c r="L3" s="638"/>
      <c r="M3" s="134"/>
      <c r="N3" s="636"/>
      <c r="O3" s="637"/>
      <c r="P3" s="638"/>
      <c r="Q3" s="14"/>
      <c r="R3" s="14"/>
      <c r="S3" s="14"/>
      <c r="T3" s="14"/>
      <c r="U3" s="14"/>
      <c r="W3" s="25"/>
      <c r="AD3" s="25"/>
      <c r="AE3" s="25"/>
      <c r="AF3" s="25"/>
    </row>
    <row r="4" spans="3:32" s="17" customFormat="1" ht="20.100000000000001" customHeight="1" thickBot="1">
      <c r="C4" s="645"/>
      <c r="D4" s="646"/>
      <c r="E4" s="646"/>
      <c r="F4" s="646"/>
      <c r="G4" s="646"/>
      <c r="H4" s="647"/>
      <c r="I4" s="134"/>
      <c r="J4" s="639"/>
      <c r="K4" s="640"/>
      <c r="L4" s="641"/>
      <c r="M4" s="134"/>
      <c r="N4" s="639"/>
      <c r="O4" s="640"/>
      <c r="P4" s="641"/>
      <c r="Q4" s="14"/>
      <c r="R4" s="14"/>
      <c r="S4" s="14"/>
      <c r="T4" s="14"/>
      <c r="U4" s="14"/>
      <c r="W4" s="25"/>
      <c r="AD4" s="25"/>
      <c r="AE4" s="25"/>
      <c r="AF4" s="25"/>
    </row>
    <row r="5" spans="3:32" s="17" customFormat="1" ht="20.100000000000001" customHeight="1" thickBot="1">
      <c r="C5" s="22" t="s">
        <v>45</v>
      </c>
      <c r="D5" s="20"/>
      <c r="E5" s="20"/>
      <c r="F5" s="20"/>
      <c r="G5" s="20"/>
      <c r="H5" s="20"/>
      <c r="I5" s="20"/>
      <c r="J5" s="22" t="s">
        <v>156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17" customFormat="1" ht="20.100000000000001" customHeight="1">
      <c r="C6" s="642"/>
      <c r="D6" s="643"/>
      <c r="E6" s="643"/>
      <c r="F6" s="643"/>
      <c r="G6" s="643"/>
      <c r="H6" s="644"/>
      <c r="I6" s="21"/>
      <c r="J6" s="626"/>
      <c r="K6" s="627"/>
      <c r="L6" s="627"/>
      <c r="M6" s="627"/>
      <c r="N6" s="627"/>
      <c r="O6" s="627"/>
      <c r="P6" s="627"/>
      <c r="Q6" s="627"/>
      <c r="R6" s="627"/>
      <c r="S6" s="628"/>
      <c r="T6" s="14"/>
      <c r="U6" s="14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17" customFormat="1" ht="20.100000000000001" customHeight="1" thickBot="1">
      <c r="C7" s="645"/>
      <c r="D7" s="646"/>
      <c r="E7" s="646"/>
      <c r="F7" s="646"/>
      <c r="G7" s="646"/>
      <c r="H7" s="647"/>
      <c r="I7" s="21"/>
      <c r="J7" s="629"/>
      <c r="K7" s="630"/>
      <c r="L7" s="630"/>
      <c r="M7" s="630"/>
      <c r="N7" s="630"/>
      <c r="O7" s="630"/>
      <c r="P7" s="630"/>
      <c r="Q7" s="630"/>
      <c r="R7" s="630"/>
      <c r="S7" s="631"/>
      <c r="T7" s="14"/>
      <c r="U7" s="14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17" customFormat="1" ht="19.5" customHeight="1" thickBot="1">
      <c r="C8" s="13"/>
      <c r="D8" s="15"/>
      <c r="E8" s="16"/>
      <c r="F8" s="16"/>
      <c r="G8" s="16"/>
      <c r="H8" s="20"/>
      <c r="I8" s="21"/>
      <c r="J8" s="629"/>
      <c r="K8" s="630"/>
      <c r="L8" s="630"/>
      <c r="M8" s="630"/>
      <c r="N8" s="630"/>
      <c r="O8" s="630"/>
      <c r="P8" s="630"/>
      <c r="Q8" s="630"/>
      <c r="R8" s="630"/>
      <c r="S8" s="631"/>
      <c r="T8" s="14"/>
      <c r="U8" s="14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3:32" s="17" customFormat="1" ht="20.100000000000001" customHeight="1" thickTop="1">
      <c r="C9" s="129"/>
      <c r="D9" s="651" t="s">
        <v>60</v>
      </c>
      <c r="E9" s="652"/>
      <c r="F9" s="648" t="s">
        <v>116</v>
      </c>
      <c r="G9" s="649"/>
      <c r="H9" s="129"/>
      <c r="I9" s="21"/>
      <c r="J9" s="629"/>
      <c r="K9" s="630"/>
      <c r="L9" s="630"/>
      <c r="M9" s="630"/>
      <c r="N9" s="630"/>
      <c r="O9" s="630"/>
      <c r="P9" s="630"/>
      <c r="Q9" s="630"/>
      <c r="R9" s="630"/>
      <c r="S9" s="631"/>
      <c r="T9" s="14"/>
      <c r="U9" s="14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17" customFormat="1" ht="20.100000000000001" customHeight="1" thickBot="1">
      <c r="C10" s="10"/>
      <c r="D10" s="653"/>
      <c r="E10" s="654"/>
      <c r="F10" s="72" t="s">
        <v>61</v>
      </c>
      <c r="G10" s="126" t="s">
        <v>44</v>
      </c>
      <c r="H10" s="91"/>
      <c r="I10" s="10"/>
      <c r="J10" s="632"/>
      <c r="K10" s="633"/>
      <c r="L10" s="633"/>
      <c r="M10" s="633"/>
      <c r="N10" s="633"/>
      <c r="O10" s="633"/>
      <c r="P10" s="633"/>
      <c r="Q10" s="633"/>
      <c r="R10" s="633"/>
      <c r="S10" s="634"/>
      <c r="T10" s="14"/>
      <c r="U10" s="14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3:32" s="17" customFormat="1" ht="20.100000000000001" customHeight="1" thickBot="1">
      <c r="C11" s="658" t="s">
        <v>278</v>
      </c>
      <c r="D11" s="114" t="s">
        <v>56</v>
      </c>
      <c r="E11" s="417"/>
      <c r="F11" s="80" t="s">
        <v>58</v>
      </c>
      <c r="G11" s="420">
        <f>E11/43560</f>
        <v>0</v>
      </c>
      <c r="H11" s="72"/>
      <c r="I11" s="10"/>
      <c r="J11" s="22" t="s">
        <v>65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3:32" s="17" customFormat="1" ht="20.100000000000001" customHeight="1" thickBot="1">
      <c r="C12" s="658"/>
      <c r="D12" s="127" t="s">
        <v>57</v>
      </c>
      <c r="E12" s="418">
        <v>1</v>
      </c>
      <c r="F12" s="419">
        <f>E12*43560</f>
        <v>43560</v>
      </c>
      <c r="G12" s="128" t="s">
        <v>58</v>
      </c>
      <c r="H12" s="71"/>
      <c r="I12" s="10"/>
      <c r="J12" s="635" t="s">
        <v>112</v>
      </c>
      <c r="K12" s="635"/>
      <c r="L12" s="650"/>
      <c r="M12" s="100">
        <v>1</v>
      </c>
      <c r="N12" s="14"/>
      <c r="O12" s="14"/>
      <c r="P12" s="111"/>
      <c r="Q12" s="124" t="s">
        <v>183</v>
      </c>
      <c r="R12" s="100"/>
      <c r="S12" s="14"/>
      <c r="T12" s="14"/>
      <c r="U12" s="14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3:32" s="17" customFormat="1" ht="20.100000000000001" customHeight="1" thickTop="1" thickBot="1">
      <c r="C13" s="10"/>
      <c r="D13" s="71"/>
      <c r="E13" s="80"/>
      <c r="F13" s="125" t="s">
        <v>117</v>
      </c>
      <c r="G13" s="450"/>
      <c r="H13" s="249" t="s">
        <v>155</v>
      </c>
      <c r="I13" s="10"/>
      <c r="J13" s="635" t="s">
        <v>113</v>
      </c>
      <c r="K13" s="635"/>
      <c r="L13" s="650"/>
      <c r="M13" s="100">
        <v>1</v>
      </c>
      <c r="N13" s="14"/>
      <c r="O13" s="14"/>
      <c r="P13" s="79"/>
      <c r="Q13" s="124" t="s">
        <v>180</v>
      </c>
      <c r="R13" s="100"/>
      <c r="S13" s="14"/>
      <c r="T13" s="14"/>
      <c r="U13" s="14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3:32" s="17" customFormat="1" ht="19.5" customHeight="1" thickBot="1">
      <c r="C14" s="10"/>
      <c r="D14" s="71"/>
      <c r="E14" s="80"/>
      <c r="F14" s="125" t="s">
        <v>118</v>
      </c>
      <c r="G14" s="450"/>
      <c r="H14" s="249" t="s">
        <v>155</v>
      </c>
      <c r="I14" s="10"/>
      <c r="J14" s="635" t="s">
        <v>114</v>
      </c>
      <c r="K14" s="635"/>
      <c r="L14" s="635"/>
      <c r="M14" s="100">
        <v>1</v>
      </c>
      <c r="N14" s="135"/>
      <c r="O14" s="135"/>
      <c r="P14" s="135"/>
      <c r="Q14" s="124" t="s">
        <v>181</v>
      </c>
      <c r="R14" s="100"/>
      <c r="S14" s="14"/>
      <c r="T14" s="14"/>
      <c r="U14" s="14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3:32" s="17" customFormat="1" ht="20.100000000000001" customHeight="1" thickBot="1">
      <c r="C15" s="71"/>
      <c r="D15" s="10"/>
      <c r="E15" s="10"/>
      <c r="F15" s="10"/>
      <c r="G15" s="10"/>
      <c r="H15" s="10"/>
      <c r="I15" s="635" t="s">
        <v>115</v>
      </c>
      <c r="J15" s="635"/>
      <c r="K15" s="635"/>
      <c r="L15" s="650"/>
      <c r="M15" s="100">
        <v>1</v>
      </c>
      <c r="N15" s="10"/>
      <c r="O15" s="10"/>
      <c r="P15" s="10"/>
      <c r="Q15" s="124" t="s">
        <v>182</v>
      </c>
      <c r="R15" s="100"/>
      <c r="S15" s="135"/>
      <c r="T15" s="135"/>
      <c r="U15" s="14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3:32" s="17" customFormat="1" ht="9" customHeight="1" thickBot="1">
      <c r="C16" s="69"/>
      <c r="D16" s="24"/>
      <c r="E16" s="23"/>
      <c r="F16" s="23"/>
      <c r="G16" s="18"/>
      <c r="H16" s="19"/>
      <c r="I16" s="10"/>
      <c r="J16" s="10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17" customFormat="1" ht="19.5" customHeight="1" thickTop="1">
      <c r="C17" s="655" t="s">
        <v>157</v>
      </c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7"/>
      <c r="U17" s="10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17" customFormat="1" ht="19.5" customHeight="1" thickBot="1">
      <c r="C18" s="104" t="s">
        <v>0</v>
      </c>
      <c r="D18" s="105" t="s">
        <v>287</v>
      </c>
      <c r="E18" s="105" t="s">
        <v>288</v>
      </c>
      <c r="F18" s="105" t="s">
        <v>3</v>
      </c>
      <c r="G18" s="105" t="s">
        <v>4</v>
      </c>
      <c r="H18" s="105" t="s">
        <v>5</v>
      </c>
      <c r="I18" s="105" t="s">
        <v>8</v>
      </c>
      <c r="J18" s="105" t="s">
        <v>9</v>
      </c>
      <c r="K18" s="105" t="s">
        <v>10</v>
      </c>
      <c r="L18" s="105" t="s">
        <v>7</v>
      </c>
      <c r="M18" s="105" t="s">
        <v>6</v>
      </c>
      <c r="N18" s="105" t="s">
        <v>11</v>
      </c>
      <c r="O18" s="105" t="s">
        <v>12</v>
      </c>
      <c r="P18" s="105" t="s">
        <v>13</v>
      </c>
      <c r="Q18" s="105" t="s">
        <v>102</v>
      </c>
      <c r="R18" s="107"/>
      <c r="S18" s="119"/>
      <c r="T18" s="137"/>
      <c r="U18" s="106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17" customFormat="1" ht="19.5" customHeight="1" thickBot="1">
      <c r="C19" s="524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6"/>
      <c r="R19" s="103"/>
      <c r="S19" s="120"/>
      <c r="T19" s="103"/>
      <c r="U19" s="10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7" customFormat="1" ht="19.5" customHeight="1" thickTop="1">
      <c r="C20" s="69"/>
      <c r="D20" s="24"/>
      <c r="E20" s="23"/>
      <c r="F20" s="23"/>
      <c r="G20" s="18"/>
      <c r="H20" s="19"/>
      <c r="I20" s="10"/>
      <c r="J20" s="10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17" customFormat="1" ht="19.5" customHeight="1" thickBot="1">
      <c r="C21" s="69"/>
      <c r="D21" s="24"/>
      <c r="E21" s="23"/>
      <c r="F21" s="23"/>
      <c r="G21" s="18"/>
      <c r="H21" s="19"/>
      <c r="I21" s="10"/>
      <c r="J21" s="10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7" customFormat="1" ht="24" customHeight="1" thickTop="1">
      <c r="C22" s="622" t="s">
        <v>66</v>
      </c>
      <c r="D22" s="623"/>
      <c r="E22" s="623"/>
      <c r="F22" s="130" t="s">
        <v>119</v>
      </c>
      <c r="G22" s="610" t="s">
        <v>63</v>
      </c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2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7" customFormat="1" ht="20.100000000000001" customHeight="1" thickBot="1">
      <c r="C23" s="624"/>
      <c r="D23" s="625"/>
      <c r="E23" s="625"/>
      <c r="F23" s="75" t="s">
        <v>64</v>
      </c>
      <c r="G23" s="78" t="s">
        <v>0</v>
      </c>
      <c r="H23" s="76" t="s">
        <v>229</v>
      </c>
      <c r="I23" s="76" t="s">
        <v>230</v>
      </c>
      <c r="J23" s="76" t="s">
        <v>3</v>
      </c>
      <c r="K23" s="76" t="s">
        <v>4</v>
      </c>
      <c r="L23" s="76" t="s">
        <v>5</v>
      </c>
      <c r="M23" s="76" t="s">
        <v>8</v>
      </c>
      <c r="N23" s="76" t="s">
        <v>9</v>
      </c>
      <c r="O23" s="76" t="s">
        <v>10</v>
      </c>
      <c r="P23" s="76" t="s">
        <v>7</v>
      </c>
      <c r="Q23" s="76" t="s">
        <v>6</v>
      </c>
      <c r="R23" s="76" t="s">
        <v>11</v>
      </c>
      <c r="S23" s="76" t="s">
        <v>12</v>
      </c>
      <c r="T23" s="76" t="s">
        <v>13</v>
      </c>
      <c r="U23" s="77" t="s">
        <v>62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7" customFormat="1" ht="20.100000000000001" customHeight="1">
      <c r="A24" s="70">
        <f t="shared" ref="A24:A33" si="0">IF(($C24=id.255),3,IF(($C24=id.256),4,IF(($C24=id.215),5,IF(($C24=id.200),7,IF(($C24=id.285),10,IF(($C24=id.210),12,IF(($C24=id.106),13,IF(($C24=id.310),14,IF(($C24=id.141),15,IF(($C24=id.360),16,IF(($C24=id.245),17,IF(($C24=id.225),18,IF(($C24=id.192),19,IF(($C24=id.196),20,IF(($C24=id.330),21,IF(($C24=id.675),22,IF(($C24=id.730),23,IF(($C24=id.855),24,IF(($C24=id.178),25,IF(($C24=id.242),26,IF(($C24=id.180),28,IF(($C24=id.185),29,IF(($C24=id.195),30,IF(($C24=id.240),31,IF(($C24=id.300),32,IF(($C24=id.177),33,IF(($C24=id.860),35,IF(($C24=id.840),36,IF(($C24=id.865),37,IF(($C24=id.800),38,IF(($C24=id.600),41,IF(($C24=id.610),42,IF(($C24=id.630),43,IF(($C24=id.620),44,IF(($C24=id.x1),48,IF(($C24=id.x2),49,"47"))))))))))))))))))))))))))))))))))))</f>
        <v>16</v>
      </c>
      <c r="B24" s="70"/>
      <c r="C24" s="620"/>
      <c r="D24" s="621"/>
      <c r="E24" s="621"/>
      <c r="F24" s="140"/>
      <c r="G24" s="421" t="str">
        <f t="shared" ref="G24:G33" ca="1" si="1">IF((INDIRECT("'PRODUCT DATA'!$L"&amp;$A24&amp;""))=0,"*",((INDIRECT("'PRODUCT DATA'!$F"&amp;$A24&amp;""))*(INDIRECT("'PRODUCT DATA'!$L"&amp;$A24&amp;"")))*($F24/128))</f>
        <v>*</v>
      </c>
      <c r="H24" s="422" t="str">
        <f t="shared" ref="H24:H33" ca="1" si="2">IF((INDIRECT("'PRODUCT DATA'!$M"&amp;$A24&amp;""))=0,"*",((INDIRECT("'PRODUCT DATA'!$F"&amp;$A24&amp;""))*(INDIRECT("'PRODUCT DATA'!$M"&amp;$A24&amp;"")))*($F24/128))</f>
        <v>*</v>
      </c>
      <c r="I24" s="422" t="str">
        <f t="shared" ref="I24:I33" ca="1" si="3">IF((INDIRECT("'PRODUCT DATA'!$O"&amp;$A24&amp;""))=0,"*",((INDIRECT("'PRODUCT DATA'!$F"&amp;$A24&amp;""))*(INDIRECT("'PRODUCT DATA'!$O"&amp;$A24&amp;"")))*($F24/128))</f>
        <v>*</v>
      </c>
      <c r="J24" s="422" t="str">
        <f t="shared" ref="J24:J33" ca="1" si="4">IF((INDIRECT("'PRODUCT DATA'!$Q"&amp;$A24&amp;""))=0,"*",((INDIRECT("'PRODUCT DATA'!$F"&amp;$A24&amp;""))*(INDIRECT("'PRODUCT DATA'!$Q"&amp;$A24&amp;"")))*($F24/128))</f>
        <v>*</v>
      </c>
      <c r="K24" s="422" t="str">
        <f t="shared" ref="K24:K33" ca="1" si="5">IF((INDIRECT("'PRODUCT DATA'!$R"&amp;$A24&amp;""))=0,"*",((INDIRECT("'PRODUCT DATA'!$F"&amp;$A24&amp;""))*(INDIRECT("'PRODUCT DATA'!$R"&amp;$A24&amp;"")))*($F24/128))</f>
        <v>*</v>
      </c>
      <c r="L24" s="422" t="str">
        <f t="shared" ref="L24:L33" ca="1" si="6">IF((INDIRECT("'PRODUCT DATA'!$S"&amp;$A24&amp;""))=0,"*",((INDIRECT("'PRODUCT DATA'!$F"&amp;$A24&amp;""))*(INDIRECT("'PRODUCT DATA'!$S"&amp;$A24&amp;"")))*($F24/128))</f>
        <v>*</v>
      </c>
      <c r="M24" s="422" t="str">
        <f t="shared" ref="M24:M33" ca="1" si="7">IF((INDIRECT("'PRODUCT DATA'!$T"&amp;$A24&amp;""))=0,"*",((INDIRECT("'PRODUCT DATA'!$F"&amp;$A24&amp;""))*(INDIRECT("'PRODUCT DATA'!$T"&amp;$A24&amp;"")))*($F24/128))</f>
        <v>*</v>
      </c>
      <c r="N24" s="422" t="str">
        <f t="shared" ref="N24:N33" ca="1" si="8">IF((INDIRECT("'PRODUCT DATA'!$U"&amp;$A24&amp;""))=0,"*",((INDIRECT("'PRODUCT DATA'!$F"&amp;$A24&amp;""))*(INDIRECT("'PRODUCT DATA'!$U"&amp;$A24&amp;"")))*($F24/128))</f>
        <v>*</v>
      </c>
      <c r="O24" s="422" t="str">
        <f t="shared" ref="O24:O33" ca="1" si="9">IF((INDIRECT("'PRODUCT DATA'!$V"&amp;$A24&amp;""))=0,"*",((INDIRECT("'PRODUCT DATA'!$F"&amp;$A24&amp;""))*(INDIRECT("'PRODUCT DATA'!$V"&amp;$A24&amp;"")))*($F24/128))</f>
        <v>*</v>
      </c>
      <c r="P24" s="422" t="str">
        <f t="shared" ref="P24:P33" ca="1" si="10">IF((INDIRECT("'PRODUCT DATA'!$W"&amp;$A24&amp;""))=0,"*",((INDIRECT("'PRODUCT DATA'!$F"&amp;$A24&amp;""))*(INDIRECT("'PRODUCT DATA'!$W"&amp;$A24&amp;"")))*($F24/128))</f>
        <v>*</v>
      </c>
      <c r="Q24" s="422" t="str">
        <f t="shared" ref="Q24:Q33" ca="1" si="11">IF((INDIRECT("'PRODUCT DATA'!$X"&amp;$A24&amp;""))=0,"*",((INDIRECT("'PRODUCT DATA'!$F"&amp;$A24&amp;""))*(INDIRECT("'PRODUCT DATA'!$X"&amp;$A24&amp;"")))*($F24/128))</f>
        <v>*</v>
      </c>
      <c r="R24" s="423" t="str">
        <f t="shared" ref="R24:R33" ca="1" si="12">IF((INDIRECT("'PRODUCT DATA'!$Y"&amp;$A24&amp;""))=0,"*",((INDIRECT("'PRODUCT DATA'!$F"&amp;$A24&amp;""))*(INDIRECT("'PRODUCT DATA'!$Y"&amp;$A24&amp;"")))*($F24/128))</f>
        <v>*</v>
      </c>
      <c r="S24" s="423" t="str">
        <f t="shared" ref="S24:S33" ca="1" si="13">IF((INDIRECT("'PRODUCT DATA'!$Z"&amp;$A24&amp;""))=0,"*",((INDIRECT("'PRODUCT DATA'!$F"&amp;$A24&amp;""))*(INDIRECT("'PRODUCT DATA'!$Z"&amp;$A24&amp;"")))*($F24/128))</f>
        <v>*</v>
      </c>
      <c r="T24" s="423" t="str">
        <f t="shared" ref="T24:T33" ca="1" si="14">IF((INDIRECT("'PRODUCT DATA'!$AA"&amp;$A24&amp;""))=0,"*",((INDIRECT("'PRODUCT DATA'!$F"&amp;$A24&amp;""))*(INDIRECT("'PRODUCT DATA'!$AA"&amp;$A24&amp;"")))*($F24/128))</f>
        <v>*</v>
      </c>
      <c r="U24" s="424" t="str">
        <f t="shared" ref="U24:U33" ca="1" si="15">IF((INDIRECT("'PRODUCT DATA'!$AB"&amp;$A24&amp;""))=0,"*",((INDIRECT("'PRODUCT DATA'!$F"&amp;$A24&amp;""))*(INDIRECT("'PRODUCT DATA'!$AB"&amp;$A24&amp;"")))*($F24/128))</f>
        <v>*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7" customFormat="1" ht="20.100000000000001" customHeight="1">
      <c r="A25" s="70">
        <f t="shared" si="0"/>
        <v>16</v>
      </c>
      <c r="B25" s="70"/>
      <c r="C25" s="597"/>
      <c r="D25" s="598"/>
      <c r="E25" s="598"/>
      <c r="F25" s="141"/>
      <c r="G25" s="425" t="str">
        <f t="shared" ca="1" si="1"/>
        <v>*</v>
      </c>
      <c r="H25" s="426" t="str">
        <f t="shared" ca="1" si="2"/>
        <v>*</v>
      </c>
      <c r="I25" s="426" t="str">
        <f t="shared" ca="1" si="3"/>
        <v>*</v>
      </c>
      <c r="J25" s="426" t="str">
        <f t="shared" ca="1" si="4"/>
        <v>*</v>
      </c>
      <c r="K25" s="426" t="str">
        <f t="shared" ca="1" si="5"/>
        <v>*</v>
      </c>
      <c r="L25" s="426" t="str">
        <f t="shared" ca="1" si="6"/>
        <v>*</v>
      </c>
      <c r="M25" s="426" t="str">
        <f t="shared" ca="1" si="7"/>
        <v>*</v>
      </c>
      <c r="N25" s="426" t="str">
        <f t="shared" ca="1" si="8"/>
        <v>*</v>
      </c>
      <c r="O25" s="426" t="str">
        <f t="shared" ca="1" si="9"/>
        <v>*</v>
      </c>
      <c r="P25" s="426" t="str">
        <f t="shared" ca="1" si="10"/>
        <v>*</v>
      </c>
      <c r="Q25" s="426" t="str">
        <f t="shared" ca="1" si="11"/>
        <v>*</v>
      </c>
      <c r="R25" s="427" t="str">
        <f t="shared" ca="1" si="12"/>
        <v>*</v>
      </c>
      <c r="S25" s="427" t="str">
        <f t="shared" ca="1" si="13"/>
        <v>*</v>
      </c>
      <c r="T25" s="427" t="str">
        <f t="shared" ca="1" si="14"/>
        <v>*</v>
      </c>
      <c r="U25" s="428" t="str">
        <f t="shared" ca="1" si="15"/>
        <v>*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7" customFormat="1" ht="20.100000000000001" customHeight="1">
      <c r="A26" s="70">
        <f t="shared" si="0"/>
        <v>16</v>
      </c>
      <c r="B26" s="70"/>
      <c r="C26" s="597"/>
      <c r="D26" s="598"/>
      <c r="E26" s="598"/>
      <c r="F26" s="141"/>
      <c r="G26" s="429" t="str">
        <f t="shared" ca="1" si="1"/>
        <v>*</v>
      </c>
      <c r="H26" s="430" t="str">
        <f t="shared" ca="1" si="2"/>
        <v>*</v>
      </c>
      <c r="I26" s="430" t="str">
        <f t="shared" ca="1" si="3"/>
        <v>*</v>
      </c>
      <c r="J26" s="430" t="str">
        <f t="shared" ca="1" si="4"/>
        <v>*</v>
      </c>
      <c r="K26" s="430" t="str">
        <f t="shared" ca="1" si="5"/>
        <v>*</v>
      </c>
      <c r="L26" s="430" t="str">
        <f t="shared" ca="1" si="6"/>
        <v>*</v>
      </c>
      <c r="M26" s="430" t="str">
        <f t="shared" ca="1" si="7"/>
        <v>*</v>
      </c>
      <c r="N26" s="430" t="str">
        <f t="shared" ca="1" si="8"/>
        <v>*</v>
      </c>
      <c r="O26" s="430" t="str">
        <f t="shared" ca="1" si="9"/>
        <v>*</v>
      </c>
      <c r="P26" s="430" t="str">
        <f t="shared" ca="1" si="10"/>
        <v>*</v>
      </c>
      <c r="Q26" s="430" t="str">
        <f t="shared" ca="1" si="11"/>
        <v>*</v>
      </c>
      <c r="R26" s="431" t="str">
        <f t="shared" ca="1" si="12"/>
        <v>*</v>
      </c>
      <c r="S26" s="431" t="str">
        <f t="shared" ca="1" si="13"/>
        <v>*</v>
      </c>
      <c r="T26" s="431" t="str">
        <f t="shared" ca="1" si="14"/>
        <v>*</v>
      </c>
      <c r="U26" s="432" t="str">
        <f t="shared" ca="1" si="15"/>
        <v>*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7" customFormat="1" ht="20.100000000000001" customHeight="1">
      <c r="A27" s="70">
        <f t="shared" si="0"/>
        <v>16</v>
      </c>
      <c r="B27" s="70"/>
      <c r="C27" s="597"/>
      <c r="D27" s="598"/>
      <c r="E27" s="598"/>
      <c r="F27" s="141"/>
      <c r="G27" s="429" t="str">
        <f t="shared" ca="1" si="1"/>
        <v>*</v>
      </c>
      <c r="H27" s="430" t="str">
        <f t="shared" ca="1" si="2"/>
        <v>*</v>
      </c>
      <c r="I27" s="430" t="str">
        <f t="shared" ca="1" si="3"/>
        <v>*</v>
      </c>
      <c r="J27" s="430" t="str">
        <f t="shared" ca="1" si="4"/>
        <v>*</v>
      </c>
      <c r="K27" s="430" t="str">
        <f t="shared" ca="1" si="5"/>
        <v>*</v>
      </c>
      <c r="L27" s="430" t="str">
        <f t="shared" ca="1" si="6"/>
        <v>*</v>
      </c>
      <c r="M27" s="430" t="str">
        <f t="shared" ca="1" si="7"/>
        <v>*</v>
      </c>
      <c r="N27" s="430" t="str">
        <f t="shared" ca="1" si="8"/>
        <v>*</v>
      </c>
      <c r="O27" s="430" t="str">
        <f t="shared" ca="1" si="9"/>
        <v>*</v>
      </c>
      <c r="P27" s="430" t="str">
        <f t="shared" ca="1" si="10"/>
        <v>*</v>
      </c>
      <c r="Q27" s="430" t="str">
        <f t="shared" ca="1" si="11"/>
        <v>*</v>
      </c>
      <c r="R27" s="431" t="str">
        <f t="shared" ca="1" si="12"/>
        <v>*</v>
      </c>
      <c r="S27" s="431" t="str">
        <f t="shared" ca="1" si="13"/>
        <v>*</v>
      </c>
      <c r="T27" s="431" t="str">
        <f t="shared" ca="1" si="14"/>
        <v>*</v>
      </c>
      <c r="U27" s="432" t="str">
        <f t="shared" ca="1" si="15"/>
        <v>*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7" customFormat="1" ht="20.100000000000001" customHeight="1">
      <c r="A28" s="70">
        <f t="shared" si="0"/>
        <v>16</v>
      </c>
      <c r="B28" s="70"/>
      <c r="C28" s="597"/>
      <c r="D28" s="598"/>
      <c r="E28" s="598"/>
      <c r="F28" s="141"/>
      <c r="G28" s="429" t="str">
        <f t="shared" ca="1" si="1"/>
        <v>*</v>
      </c>
      <c r="H28" s="430" t="str">
        <f t="shared" ca="1" si="2"/>
        <v>*</v>
      </c>
      <c r="I28" s="430" t="str">
        <f t="shared" ca="1" si="3"/>
        <v>*</v>
      </c>
      <c r="J28" s="430" t="str">
        <f t="shared" ca="1" si="4"/>
        <v>*</v>
      </c>
      <c r="K28" s="430" t="str">
        <f t="shared" ca="1" si="5"/>
        <v>*</v>
      </c>
      <c r="L28" s="430" t="str">
        <f t="shared" ca="1" si="6"/>
        <v>*</v>
      </c>
      <c r="M28" s="430" t="str">
        <f t="shared" ca="1" si="7"/>
        <v>*</v>
      </c>
      <c r="N28" s="430" t="str">
        <f t="shared" ca="1" si="8"/>
        <v>*</v>
      </c>
      <c r="O28" s="430" t="str">
        <f t="shared" ca="1" si="9"/>
        <v>*</v>
      </c>
      <c r="P28" s="430" t="str">
        <f t="shared" ca="1" si="10"/>
        <v>*</v>
      </c>
      <c r="Q28" s="430" t="str">
        <f t="shared" ca="1" si="11"/>
        <v>*</v>
      </c>
      <c r="R28" s="431" t="str">
        <f t="shared" ca="1" si="12"/>
        <v>*</v>
      </c>
      <c r="S28" s="431" t="str">
        <f t="shared" ca="1" si="13"/>
        <v>*</v>
      </c>
      <c r="T28" s="431" t="str">
        <f t="shared" ca="1" si="14"/>
        <v>*</v>
      </c>
      <c r="U28" s="432" t="str">
        <f t="shared" ca="1" si="15"/>
        <v>*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7" customFormat="1" ht="20.100000000000001" customHeight="1">
      <c r="A29" s="70">
        <f t="shared" si="0"/>
        <v>16</v>
      </c>
      <c r="B29" s="70"/>
      <c r="C29" s="597"/>
      <c r="D29" s="598"/>
      <c r="E29" s="598"/>
      <c r="F29" s="141"/>
      <c r="G29" s="429" t="str">
        <f t="shared" ca="1" si="1"/>
        <v>*</v>
      </c>
      <c r="H29" s="430" t="str">
        <f t="shared" ca="1" si="2"/>
        <v>*</v>
      </c>
      <c r="I29" s="430" t="str">
        <f t="shared" ca="1" si="3"/>
        <v>*</v>
      </c>
      <c r="J29" s="430" t="str">
        <f t="shared" ca="1" si="4"/>
        <v>*</v>
      </c>
      <c r="K29" s="430" t="str">
        <f t="shared" ca="1" si="5"/>
        <v>*</v>
      </c>
      <c r="L29" s="430" t="str">
        <f t="shared" ca="1" si="6"/>
        <v>*</v>
      </c>
      <c r="M29" s="430" t="str">
        <f t="shared" ca="1" si="7"/>
        <v>*</v>
      </c>
      <c r="N29" s="430" t="str">
        <f t="shared" ca="1" si="8"/>
        <v>*</v>
      </c>
      <c r="O29" s="430" t="str">
        <f t="shared" ca="1" si="9"/>
        <v>*</v>
      </c>
      <c r="P29" s="430" t="str">
        <f t="shared" ca="1" si="10"/>
        <v>*</v>
      </c>
      <c r="Q29" s="430" t="str">
        <f t="shared" ca="1" si="11"/>
        <v>*</v>
      </c>
      <c r="R29" s="431" t="str">
        <f t="shared" ca="1" si="12"/>
        <v>*</v>
      </c>
      <c r="S29" s="431" t="str">
        <f t="shared" ca="1" si="13"/>
        <v>*</v>
      </c>
      <c r="T29" s="431" t="str">
        <f t="shared" ca="1" si="14"/>
        <v>*</v>
      </c>
      <c r="U29" s="432" t="str">
        <f t="shared" ca="1" si="15"/>
        <v>*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17" customFormat="1" ht="20.100000000000001" customHeight="1">
      <c r="A30" s="70">
        <f t="shared" si="0"/>
        <v>16</v>
      </c>
      <c r="B30" s="70"/>
      <c r="C30" s="597"/>
      <c r="D30" s="598"/>
      <c r="E30" s="598"/>
      <c r="F30" s="141"/>
      <c r="G30" s="429" t="str">
        <f t="shared" ca="1" si="1"/>
        <v>*</v>
      </c>
      <c r="H30" s="430" t="str">
        <f t="shared" ca="1" si="2"/>
        <v>*</v>
      </c>
      <c r="I30" s="430" t="str">
        <f t="shared" ca="1" si="3"/>
        <v>*</v>
      </c>
      <c r="J30" s="430" t="str">
        <f t="shared" ca="1" si="4"/>
        <v>*</v>
      </c>
      <c r="K30" s="430" t="str">
        <f t="shared" ca="1" si="5"/>
        <v>*</v>
      </c>
      <c r="L30" s="430" t="str">
        <f t="shared" ca="1" si="6"/>
        <v>*</v>
      </c>
      <c r="M30" s="430" t="str">
        <f t="shared" ca="1" si="7"/>
        <v>*</v>
      </c>
      <c r="N30" s="430" t="str">
        <f t="shared" ca="1" si="8"/>
        <v>*</v>
      </c>
      <c r="O30" s="430" t="str">
        <f t="shared" ca="1" si="9"/>
        <v>*</v>
      </c>
      <c r="P30" s="430" t="str">
        <f t="shared" ca="1" si="10"/>
        <v>*</v>
      </c>
      <c r="Q30" s="430" t="str">
        <f t="shared" ca="1" si="11"/>
        <v>*</v>
      </c>
      <c r="R30" s="431" t="str">
        <f t="shared" ca="1" si="12"/>
        <v>*</v>
      </c>
      <c r="S30" s="431" t="str">
        <f t="shared" ca="1" si="13"/>
        <v>*</v>
      </c>
      <c r="T30" s="431" t="str">
        <f t="shared" ca="1" si="14"/>
        <v>*</v>
      </c>
      <c r="U30" s="432" t="str">
        <f t="shared" ca="1" si="15"/>
        <v>*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17" customFormat="1" ht="20.100000000000001" customHeight="1">
      <c r="A31" s="70">
        <f t="shared" si="0"/>
        <v>16</v>
      </c>
      <c r="B31" s="70"/>
      <c r="C31" s="597"/>
      <c r="D31" s="598"/>
      <c r="E31" s="598"/>
      <c r="F31" s="141"/>
      <c r="G31" s="429" t="str">
        <f t="shared" ca="1" si="1"/>
        <v>*</v>
      </c>
      <c r="H31" s="430" t="str">
        <f t="shared" ca="1" si="2"/>
        <v>*</v>
      </c>
      <c r="I31" s="430" t="str">
        <f t="shared" ca="1" si="3"/>
        <v>*</v>
      </c>
      <c r="J31" s="430" t="str">
        <f t="shared" ca="1" si="4"/>
        <v>*</v>
      </c>
      <c r="K31" s="430" t="str">
        <f t="shared" ca="1" si="5"/>
        <v>*</v>
      </c>
      <c r="L31" s="430" t="str">
        <f t="shared" ca="1" si="6"/>
        <v>*</v>
      </c>
      <c r="M31" s="430" t="str">
        <f t="shared" ca="1" si="7"/>
        <v>*</v>
      </c>
      <c r="N31" s="430" t="str">
        <f t="shared" ca="1" si="8"/>
        <v>*</v>
      </c>
      <c r="O31" s="430" t="str">
        <f t="shared" ca="1" si="9"/>
        <v>*</v>
      </c>
      <c r="P31" s="430" t="str">
        <f t="shared" ca="1" si="10"/>
        <v>*</v>
      </c>
      <c r="Q31" s="430" t="str">
        <f t="shared" ca="1" si="11"/>
        <v>*</v>
      </c>
      <c r="R31" s="431" t="str">
        <f t="shared" ca="1" si="12"/>
        <v>*</v>
      </c>
      <c r="S31" s="431" t="str">
        <f t="shared" ca="1" si="13"/>
        <v>*</v>
      </c>
      <c r="T31" s="431" t="str">
        <f t="shared" ca="1" si="14"/>
        <v>*</v>
      </c>
      <c r="U31" s="432" t="str">
        <f t="shared" ca="1" si="15"/>
        <v>*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17" customFormat="1" ht="20.100000000000001" customHeight="1">
      <c r="A32" s="70">
        <f t="shared" si="0"/>
        <v>16</v>
      </c>
      <c r="B32" s="70"/>
      <c r="C32" s="597"/>
      <c r="D32" s="598"/>
      <c r="E32" s="598"/>
      <c r="F32" s="141"/>
      <c r="G32" s="429" t="str">
        <f t="shared" ca="1" si="1"/>
        <v>*</v>
      </c>
      <c r="H32" s="430" t="str">
        <f t="shared" ca="1" si="2"/>
        <v>*</v>
      </c>
      <c r="I32" s="430" t="str">
        <f t="shared" ca="1" si="3"/>
        <v>*</v>
      </c>
      <c r="J32" s="430" t="str">
        <f t="shared" ca="1" si="4"/>
        <v>*</v>
      </c>
      <c r="K32" s="430" t="str">
        <f t="shared" ca="1" si="5"/>
        <v>*</v>
      </c>
      <c r="L32" s="430" t="str">
        <f t="shared" ca="1" si="6"/>
        <v>*</v>
      </c>
      <c r="M32" s="430" t="str">
        <f t="shared" ca="1" si="7"/>
        <v>*</v>
      </c>
      <c r="N32" s="430" t="str">
        <f t="shared" ca="1" si="8"/>
        <v>*</v>
      </c>
      <c r="O32" s="430" t="str">
        <f t="shared" ca="1" si="9"/>
        <v>*</v>
      </c>
      <c r="P32" s="430" t="str">
        <f t="shared" ca="1" si="10"/>
        <v>*</v>
      </c>
      <c r="Q32" s="430" t="str">
        <f t="shared" ca="1" si="11"/>
        <v>*</v>
      </c>
      <c r="R32" s="431" t="str">
        <f t="shared" ca="1" si="12"/>
        <v>*</v>
      </c>
      <c r="S32" s="431" t="str">
        <f t="shared" ca="1" si="13"/>
        <v>*</v>
      </c>
      <c r="T32" s="431" t="str">
        <f t="shared" ca="1" si="14"/>
        <v>*</v>
      </c>
      <c r="U32" s="432" t="str">
        <f t="shared" ca="1" si="15"/>
        <v>*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17" customFormat="1" ht="20.100000000000001" customHeight="1" thickBot="1">
      <c r="A33" s="70">
        <f t="shared" si="0"/>
        <v>16</v>
      </c>
      <c r="B33" s="70"/>
      <c r="C33" s="601"/>
      <c r="D33" s="602"/>
      <c r="E33" s="602"/>
      <c r="F33" s="142"/>
      <c r="G33" s="433" t="str">
        <f t="shared" ca="1" si="1"/>
        <v>*</v>
      </c>
      <c r="H33" s="434" t="str">
        <f t="shared" ca="1" si="2"/>
        <v>*</v>
      </c>
      <c r="I33" s="434" t="str">
        <f t="shared" ca="1" si="3"/>
        <v>*</v>
      </c>
      <c r="J33" s="434" t="str">
        <f t="shared" ca="1" si="4"/>
        <v>*</v>
      </c>
      <c r="K33" s="434" t="str">
        <f t="shared" ca="1" si="5"/>
        <v>*</v>
      </c>
      <c r="L33" s="434" t="str">
        <f t="shared" ca="1" si="6"/>
        <v>*</v>
      </c>
      <c r="M33" s="434" t="str">
        <f t="shared" ca="1" si="7"/>
        <v>*</v>
      </c>
      <c r="N33" s="434" t="str">
        <f t="shared" ca="1" si="8"/>
        <v>*</v>
      </c>
      <c r="O33" s="434" t="str">
        <f t="shared" ca="1" si="9"/>
        <v>*</v>
      </c>
      <c r="P33" s="434" t="str">
        <f t="shared" ca="1" si="10"/>
        <v>*</v>
      </c>
      <c r="Q33" s="434" t="str">
        <f t="shared" ca="1" si="11"/>
        <v>*</v>
      </c>
      <c r="R33" s="435" t="str">
        <f t="shared" ca="1" si="12"/>
        <v>*</v>
      </c>
      <c r="S33" s="435" t="str">
        <f t="shared" ca="1" si="13"/>
        <v>*</v>
      </c>
      <c r="T33" s="435" t="str">
        <f t="shared" ca="1" si="14"/>
        <v>*</v>
      </c>
      <c r="U33" s="436" t="str">
        <f t="shared" ca="1" si="15"/>
        <v>*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20.100000000000001" customHeight="1" thickBot="1">
      <c r="C34" s="603" t="s">
        <v>139</v>
      </c>
      <c r="D34" s="604"/>
      <c r="E34" s="604"/>
      <c r="F34" s="605"/>
      <c r="G34" s="437" t="str">
        <f ca="1">IF(SUM(G24:G33)=0,"0",SUM(G24:G33))</f>
        <v>0</v>
      </c>
      <c r="H34" s="437" t="str">
        <f t="shared" ref="H34:U34" ca="1" si="16">IF(SUM(H24:H33)=0,"0",SUM(H24:H33))</f>
        <v>0</v>
      </c>
      <c r="I34" s="437" t="str">
        <f t="shared" ca="1" si="16"/>
        <v>0</v>
      </c>
      <c r="J34" s="437" t="str">
        <f t="shared" ca="1" si="16"/>
        <v>0</v>
      </c>
      <c r="K34" s="437" t="str">
        <f t="shared" ca="1" si="16"/>
        <v>0</v>
      </c>
      <c r="L34" s="437" t="str">
        <f t="shared" ca="1" si="16"/>
        <v>0</v>
      </c>
      <c r="M34" s="437" t="str">
        <f t="shared" ca="1" si="16"/>
        <v>0</v>
      </c>
      <c r="N34" s="437" t="str">
        <f t="shared" ca="1" si="16"/>
        <v>0</v>
      </c>
      <c r="O34" s="437" t="str">
        <f t="shared" ca="1" si="16"/>
        <v>0</v>
      </c>
      <c r="P34" s="437" t="str">
        <f t="shared" ca="1" si="16"/>
        <v>0</v>
      </c>
      <c r="Q34" s="438" t="str">
        <f t="shared" ca="1" si="16"/>
        <v>0</v>
      </c>
      <c r="R34" s="438" t="str">
        <f t="shared" ca="1" si="16"/>
        <v>0</v>
      </c>
      <c r="S34" s="438" t="str">
        <f t="shared" ca="1" si="16"/>
        <v>0</v>
      </c>
      <c r="T34" s="438" t="str">
        <f t="shared" ca="1" si="16"/>
        <v>0</v>
      </c>
      <c r="U34" s="439" t="str">
        <f t="shared" ca="1" si="16"/>
        <v>0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9.5" customHeight="1" thickTop="1">
      <c r="C35" s="607" t="s">
        <v>198</v>
      </c>
      <c r="D35" s="607"/>
      <c r="E35" s="607"/>
      <c r="F35" s="607"/>
      <c r="G35" s="440">
        <f ca="1">G34*$M$12</f>
        <v>0</v>
      </c>
      <c r="H35" s="440">
        <f t="shared" ref="H35:U35" ca="1" si="17">H34*$M$12</f>
        <v>0</v>
      </c>
      <c r="I35" s="440">
        <f t="shared" ca="1" si="17"/>
        <v>0</v>
      </c>
      <c r="J35" s="440">
        <f t="shared" ca="1" si="17"/>
        <v>0</v>
      </c>
      <c r="K35" s="440">
        <f t="shared" ca="1" si="17"/>
        <v>0</v>
      </c>
      <c r="L35" s="440">
        <f t="shared" ca="1" si="17"/>
        <v>0</v>
      </c>
      <c r="M35" s="440">
        <f t="shared" ca="1" si="17"/>
        <v>0</v>
      </c>
      <c r="N35" s="440">
        <f t="shared" ca="1" si="17"/>
        <v>0</v>
      </c>
      <c r="O35" s="440">
        <f t="shared" ca="1" si="17"/>
        <v>0</v>
      </c>
      <c r="P35" s="440">
        <f t="shared" ca="1" si="17"/>
        <v>0</v>
      </c>
      <c r="Q35" s="441">
        <f t="shared" ca="1" si="17"/>
        <v>0</v>
      </c>
      <c r="R35" s="441">
        <f t="shared" ca="1" si="17"/>
        <v>0</v>
      </c>
      <c r="S35" s="441">
        <f t="shared" ca="1" si="17"/>
        <v>0</v>
      </c>
      <c r="T35" s="441">
        <f t="shared" ca="1" si="17"/>
        <v>0</v>
      </c>
      <c r="U35" s="441">
        <f t="shared" ca="1" si="17"/>
        <v>0</v>
      </c>
    </row>
    <row r="36" spans="1:32" ht="19.5" customHeight="1">
      <c r="C36" s="607" t="s">
        <v>140</v>
      </c>
      <c r="D36" s="607"/>
      <c r="E36" s="607"/>
      <c r="F36" s="607"/>
      <c r="G36" s="442">
        <f t="shared" ref="G36:U36" ca="1" si="18">IF((G34="*"),"*",(G34*43.56))</f>
        <v>0</v>
      </c>
      <c r="H36" s="442">
        <f t="shared" ca="1" si="18"/>
        <v>0</v>
      </c>
      <c r="I36" s="442">
        <f t="shared" ca="1" si="18"/>
        <v>0</v>
      </c>
      <c r="J36" s="442">
        <f t="shared" ca="1" si="18"/>
        <v>0</v>
      </c>
      <c r="K36" s="442">
        <f t="shared" ca="1" si="18"/>
        <v>0</v>
      </c>
      <c r="L36" s="442">
        <f t="shared" ca="1" si="18"/>
        <v>0</v>
      </c>
      <c r="M36" s="442">
        <f t="shared" ca="1" si="18"/>
        <v>0</v>
      </c>
      <c r="N36" s="442">
        <f t="shared" ca="1" si="18"/>
        <v>0</v>
      </c>
      <c r="O36" s="442">
        <f t="shared" ca="1" si="18"/>
        <v>0</v>
      </c>
      <c r="P36" s="442">
        <f t="shared" ca="1" si="18"/>
        <v>0</v>
      </c>
      <c r="Q36" s="441">
        <f t="shared" ca="1" si="18"/>
        <v>0</v>
      </c>
      <c r="R36" s="441">
        <f t="shared" ca="1" si="18"/>
        <v>0</v>
      </c>
      <c r="S36" s="441">
        <f t="shared" ca="1" si="18"/>
        <v>0</v>
      </c>
      <c r="T36" s="441">
        <f t="shared" ca="1" si="18"/>
        <v>0</v>
      </c>
      <c r="U36" s="441">
        <f t="shared" ca="1" si="18"/>
        <v>0</v>
      </c>
    </row>
    <row r="37" spans="1:32" ht="19.5" customHeight="1">
      <c r="C37" s="607"/>
      <c r="D37" s="607"/>
      <c r="E37" s="607"/>
      <c r="F37" s="607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32" ht="9" customHeight="1" thickBot="1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32" ht="24" customHeight="1" thickTop="1">
      <c r="A39" s="17"/>
      <c r="B39" s="17"/>
      <c r="C39" s="622" t="s">
        <v>67</v>
      </c>
      <c r="D39" s="623"/>
      <c r="E39" s="623"/>
      <c r="F39" s="130" t="s">
        <v>119</v>
      </c>
      <c r="G39" s="610" t="s">
        <v>63</v>
      </c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2"/>
    </row>
    <row r="40" spans="1:32" ht="19.5" customHeight="1" thickBot="1">
      <c r="A40" s="17"/>
      <c r="B40" s="17"/>
      <c r="C40" s="624"/>
      <c r="D40" s="625"/>
      <c r="E40" s="625"/>
      <c r="F40" s="75" t="s">
        <v>64</v>
      </c>
      <c r="G40" s="78" t="s">
        <v>0</v>
      </c>
      <c r="H40" s="343" t="s">
        <v>229</v>
      </c>
      <c r="I40" s="343" t="s">
        <v>230</v>
      </c>
      <c r="J40" s="76" t="s">
        <v>3</v>
      </c>
      <c r="K40" s="76" t="s">
        <v>4</v>
      </c>
      <c r="L40" s="76" t="s">
        <v>5</v>
      </c>
      <c r="M40" s="76" t="s">
        <v>8</v>
      </c>
      <c r="N40" s="76" t="s">
        <v>9</v>
      </c>
      <c r="O40" s="76" t="s">
        <v>10</v>
      </c>
      <c r="P40" s="76" t="s">
        <v>7</v>
      </c>
      <c r="Q40" s="76" t="s">
        <v>6</v>
      </c>
      <c r="R40" s="76" t="s">
        <v>11</v>
      </c>
      <c r="S40" s="76" t="s">
        <v>12</v>
      </c>
      <c r="T40" s="76" t="s">
        <v>13</v>
      </c>
      <c r="U40" s="77" t="s">
        <v>62</v>
      </c>
    </row>
    <row r="41" spans="1:32" ht="19.5" customHeight="1">
      <c r="A41" s="70">
        <f t="shared" ref="A41:A46" si="19">IF(($C41=id.255),3,IF(($C41=id.256),4,IF(($C41=id.215),5,IF(($C41=id.200),7,IF(($C41=id.285),10,IF(($C41=id.210),12,IF(($C41=id.106),13,IF(($C41=id.310),14,IF(($C41=id.141),15,IF(($C41=id.360),16,IF(($C41=id.245),17,IF(($C41=id.225),18,IF(($C41=id.192),19,IF(($C41=id.196),20,IF(($C41=id.330),21,IF(($C41=id.675),22,IF(($C41=id.730),23,IF(($C41=id.855),24,IF(($C41=id.178),25,IF(($C41=id.242),26,IF(($C41=id.180),28,IF(($C41=id.185),29,IF(($C41=id.195),30,IF(($C41=id.240),31,IF(($C41=id.300),32,IF(($C41=id.177),33,IF(($C41=id.860),35,IF(($C41=id.840),36,IF(($C41=id.865),37,IF(($C41=id.800),38,IF(($C41=id.600),41,IF(($C41=id.610),42,IF(($C41=id.630),43,IF(($C41=id.620),44,IF(($C41=id.x1),48,IF(($C41=id.x2),49,"47"))))))))))))))))))))))))))))))))))))</f>
        <v>16</v>
      </c>
      <c r="B41" s="70"/>
      <c r="C41" s="620"/>
      <c r="D41" s="621"/>
      <c r="E41" s="621"/>
      <c r="F41" s="140"/>
      <c r="G41" s="421" t="str">
        <f t="shared" ref="G41:G46" ca="1" si="20">IF((INDIRECT("'PRODUCT DATA'!$L"&amp;$A41&amp;""))=0,"*",((INDIRECT("'PRODUCT DATA'!$F"&amp;$A41&amp;""))*(INDIRECT("'PRODUCT DATA'!$L"&amp;$A41&amp;"")))*($F41/128))</f>
        <v>*</v>
      </c>
      <c r="H41" s="422" t="str">
        <f t="shared" ref="H41:H46" ca="1" si="21">IF((INDIRECT("'PRODUCT DATA'!$M"&amp;$A41&amp;""))=0,"*",((INDIRECT("'PRODUCT DATA'!$F"&amp;$A41&amp;""))*(INDIRECT("'PRODUCT DATA'!$M"&amp;$A41&amp;"")))*($F41/128))</f>
        <v>*</v>
      </c>
      <c r="I41" s="422" t="str">
        <f t="shared" ref="I41:I46" ca="1" si="22">IF((INDIRECT("'PRODUCT DATA'!$O"&amp;$A41&amp;""))=0,"*",((INDIRECT("'PRODUCT DATA'!$F"&amp;$A41&amp;""))*(INDIRECT("'PRODUCT DATA'!$O"&amp;$A41&amp;"")))*($F41/128))</f>
        <v>*</v>
      </c>
      <c r="J41" s="422" t="str">
        <f t="shared" ref="J41:J46" ca="1" si="23">IF((INDIRECT("'PRODUCT DATA'!$Q"&amp;$A41&amp;""))=0,"*",((INDIRECT("'PRODUCT DATA'!$F"&amp;$A41&amp;""))*(INDIRECT("'PRODUCT DATA'!$Q"&amp;$A41&amp;"")))*($F41/128))</f>
        <v>*</v>
      </c>
      <c r="K41" s="422" t="str">
        <f t="shared" ref="K41:K46" ca="1" si="24">IF((INDIRECT("'PRODUCT DATA'!$R"&amp;$A41&amp;""))=0,"*",((INDIRECT("'PRODUCT DATA'!$F"&amp;$A41&amp;""))*(INDIRECT("'PRODUCT DATA'!$R"&amp;$A41&amp;"")))*($F41/128))</f>
        <v>*</v>
      </c>
      <c r="L41" s="422" t="str">
        <f t="shared" ref="L41:L46" ca="1" si="25">IF((INDIRECT("'PRODUCT DATA'!$S"&amp;$A41&amp;""))=0,"*",((INDIRECT("'PRODUCT DATA'!$F"&amp;$A41&amp;""))*(INDIRECT("'PRODUCT DATA'!$S"&amp;$A41&amp;"")))*($F41/128))</f>
        <v>*</v>
      </c>
      <c r="M41" s="422" t="str">
        <f t="shared" ref="M41:M46" ca="1" si="26">IF((INDIRECT("'PRODUCT DATA'!$T"&amp;$A41&amp;""))=0,"*",((INDIRECT("'PRODUCT DATA'!$F"&amp;$A41&amp;""))*(INDIRECT("'PRODUCT DATA'!$T"&amp;$A41&amp;"")))*($F41/128))</f>
        <v>*</v>
      </c>
      <c r="N41" s="422" t="str">
        <f t="shared" ref="N41:N46" ca="1" si="27">IF((INDIRECT("'PRODUCT DATA'!$U"&amp;$A41&amp;""))=0,"*",((INDIRECT("'PRODUCT DATA'!$F"&amp;$A41&amp;""))*(INDIRECT("'PRODUCT DATA'!$U"&amp;$A41&amp;"")))*($F41/128))</f>
        <v>*</v>
      </c>
      <c r="O41" s="422" t="str">
        <f t="shared" ref="O41:O46" ca="1" si="28">IF((INDIRECT("'PRODUCT DATA'!$V"&amp;$A41&amp;""))=0,"*",((INDIRECT("'PRODUCT DATA'!$F"&amp;$A41&amp;""))*(INDIRECT("'PRODUCT DATA'!$V"&amp;$A41&amp;"")))*($F41/128))</f>
        <v>*</v>
      </c>
      <c r="P41" s="422" t="str">
        <f t="shared" ref="P41:P46" ca="1" si="29">IF((INDIRECT("'PRODUCT DATA'!$W"&amp;$A41&amp;""))=0,"*",((INDIRECT("'PRODUCT DATA'!$F"&amp;$A41&amp;""))*(INDIRECT("'PRODUCT DATA'!$W"&amp;$A41&amp;"")))*($F41/128))</f>
        <v>*</v>
      </c>
      <c r="Q41" s="422" t="str">
        <f t="shared" ref="Q41:Q46" ca="1" si="30">IF((INDIRECT("'PRODUCT DATA'!$X"&amp;$A41&amp;""))=0,"*",((INDIRECT("'PRODUCT DATA'!$F"&amp;$A41&amp;""))*(INDIRECT("'PRODUCT DATA'!$X"&amp;$A41&amp;"")))*($F41/128))</f>
        <v>*</v>
      </c>
      <c r="R41" s="423" t="str">
        <f t="shared" ref="R41:R46" ca="1" si="31">IF((INDIRECT("'PRODUCT DATA'!$Y"&amp;$A41&amp;""))=0,"*",((INDIRECT("'PRODUCT DATA'!$F"&amp;$A41&amp;""))*(INDIRECT("'PRODUCT DATA'!$Y"&amp;$A41&amp;"")))*($F41/128))</f>
        <v>*</v>
      </c>
      <c r="S41" s="423" t="str">
        <f t="shared" ref="S41:S46" ca="1" si="32">IF((INDIRECT("'PRODUCT DATA'!$Z"&amp;$A41&amp;""))=0,"*",((INDIRECT("'PRODUCT DATA'!$F"&amp;$A41&amp;""))*(INDIRECT("'PRODUCT DATA'!$Z"&amp;$A41&amp;"")))*($F41/128))</f>
        <v>*</v>
      </c>
      <c r="T41" s="423" t="str">
        <f t="shared" ref="T41:T46" ca="1" si="33">IF((INDIRECT("'PRODUCT DATA'!$AA"&amp;$A41&amp;""))=0,"*",((INDIRECT("'PRODUCT DATA'!$F"&amp;$A41&amp;""))*(INDIRECT("'PRODUCT DATA'!$AA"&amp;$A41&amp;"")))*($F41/128))</f>
        <v>*</v>
      </c>
      <c r="U41" s="424" t="str">
        <f t="shared" ref="U41:U46" ca="1" si="34">IF((INDIRECT("'PRODUCT DATA'!$AB"&amp;$A41&amp;""))=0,"*",((INDIRECT("'PRODUCT DATA'!$F"&amp;$A41&amp;""))*(INDIRECT("'PRODUCT DATA'!$AB"&amp;$A41&amp;"")))*($F41/128))</f>
        <v>*</v>
      </c>
    </row>
    <row r="42" spans="1:32" ht="19.5" customHeight="1">
      <c r="A42" s="70">
        <f t="shared" si="19"/>
        <v>16</v>
      </c>
      <c r="B42" s="70"/>
      <c r="C42" s="597"/>
      <c r="D42" s="598"/>
      <c r="E42" s="598"/>
      <c r="F42" s="141"/>
      <c r="G42" s="425" t="str">
        <f t="shared" ca="1" si="20"/>
        <v>*</v>
      </c>
      <c r="H42" s="426" t="str">
        <f t="shared" ca="1" si="21"/>
        <v>*</v>
      </c>
      <c r="I42" s="426" t="str">
        <f t="shared" ca="1" si="22"/>
        <v>*</v>
      </c>
      <c r="J42" s="426" t="str">
        <f t="shared" ca="1" si="23"/>
        <v>*</v>
      </c>
      <c r="K42" s="426" t="str">
        <f t="shared" ca="1" si="24"/>
        <v>*</v>
      </c>
      <c r="L42" s="426" t="str">
        <f t="shared" ca="1" si="25"/>
        <v>*</v>
      </c>
      <c r="M42" s="426" t="str">
        <f t="shared" ca="1" si="26"/>
        <v>*</v>
      </c>
      <c r="N42" s="426" t="str">
        <f t="shared" ca="1" si="27"/>
        <v>*</v>
      </c>
      <c r="O42" s="426" t="str">
        <f t="shared" ca="1" si="28"/>
        <v>*</v>
      </c>
      <c r="P42" s="426" t="str">
        <f t="shared" ca="1" si="29"/>
        <v>*</v>
      </c>
      <c r="Q42" s="426" t="str">
        <f t="shared" ca="1" si="30"/>
        <v>*</v>
      </c>
      <c r="R42" s="427" t="str">
        <f t="shared" ca="1" si="31"/>
        <v>*</v>
      </c>
      <c r="S42" s="427" t="str">
        <f t="shared" ca="1" si="32"/>
        <v>*</v>
      </c>
      <c r="T42" s="427" t="str">
        <f t="shared" ca="1" si="33"/>
        <v>*</v>
      </c>
      <c r="U42" s="428" t="str">
        <f t="shared" ca="1" si="34"/>
        <v>*</v>
      </c>
    </row>
    <row r="43" spans="1:32" ht="19.5" customHeight="1">
      <c r="A43" s="70">
        <f t="shared" si="19"/>
        <v>16</v>
      </c>
      <c r="B43" s="70"/>
      <c r="C43" s="597"/>
      <c r="D43" s="598"/>
      <c r="E43" s="598"/>
      <c r="F43" s="141"/>
      <c r="G43" s="429" t="str">
        <f t="shared" ca="1" si="20"/>
        <v>*</v>
      </c>
      <c r="H43" s="430" t="str">
        <f t="shared" ca="1" si="21"/>
        <v>*</v>
      </c>
      <c r="I43" s="430" t="str">
        <f t="shared" ca="1" si="22"/>
        <v>*</v>
      </c>
      <c r="J43" s="430" t="str">
        <f t="shared" ca="1" si="23"/>
        <v>*</v>
      </c>
      <c r="K43" s="430" t="str">
        <f t="shared" ca="1" si="24"/>
        <v>*</v>
      </c>
      <c r="L43" s="430" t="str">
        <f t="shared" ca="1" si="25"/>
        <v>*</v>
      </c>
      <c r="M43" s="430" t="str">
        <f t="shared" ca="1" si="26"/>
        <v>*</v>
      </c>
      <c r="N43" s="430" t="str">
        <f t="shared" ca="1" si="27"/>
        <v>*</v>
      </c>
      <c r="O43" s="430" t="str">
        <f t="shared" ca="1" si="28"/>
        <v>*</v>
      </c>
      <c r="P43" s="430" t="str">
        <f t="shared" ca="1" si="29"/>
        <v>*</v>
      </c>
      <c r="Q43" s="430" t="str">
        <f t="shared" ca="1" si="30"/>
        <v>*</v>
      </c>
      <c r="R43" s="431" t="str">
        <f t="shared" ca="1" si="31"/>
        <v>*</v>
      </c>
      <c r="S43" s="431" t="str">
        <f t="shared" ca="1" si="32"/>
        <v>*</v>
      </c>
      <c r="T43" s="431" t="str">
        <f t="shared" ca="1" si="33"/>
        <v>*</v>
      </c>
      <c r="U43" s="432" t="str">
        <f t="shared" ca="1" si="34"/>
        <v>*</v>
      </c>
    </row>
    <row r="44" spans="1:32" ht="19.5" customHeight="1">
      <c r="A44" s="70">
        <f t="shared" si="19"/>
        <v>16</v>
      </c>
      <c r="B44" s="70"/>
      <c r="C44" s="597"/>
      <c r="D44" s="598"/>
      <c r="E44" s="598"/>
      <c r="F44" s="141"/>
      <c r="G44" s="429" t="str">
        <f t="shared" ca="1" si="20"/>
        <v>*</v>
      </c>
      <c r="H44" s="430" t="str">
        <f t="shared" ca="1" si="21"/>
        <v>*</v>
      </c>
      <c r="I44" s="430" t="str">
        <f t="shared" ca="1" si="22"/>
        <v>*</v>
      </c>
      <c r="J44" s="430" t="str">
        <f t="shared" ca="1" si="23"/>
        <v>*</v>
      </c>
      <c r="K44" s="430" t="str">
        <f t="shared" ca="1" si="24"/>
        <v>*</v>
      </c>
      <c r="L44" s="430" t="str">
        <f t="shared" ca="1" si="25"/>
        <v>*</v>
      </c>
      <c r="M44" s="430" t="str">
        <f t="shared" ca="1" si="26"/>
        <v>*</v>
      </c>
      <c r="N44" s="430" t="str">
        <f t="shared" ca="1" si="27"/>
        <v>*</v>
      </c>
      <c r="O44" s="430" t="str">
        <f t="shared" ca="1" si="28"/>
        <v>*</v>
      </c>
      <c r="P44" s="430" t="str">
        <f t="shared" ca="1" si="29"/>
        <v>*</v>
      </c>
      <c r="Q44" s="430" t="str">
        <f t="shared" ca="1" si="30"/>
        <v>*</v>
      </c>
      <c r="R44" s="431" t="str">
        <f t="shared" ca="1" si="31"/>
        <v>*</v>
      </c>
      <c r="S44" s="431" t="str">
        <f t="shared" ca="1" si="32"/>
        <v>*</v>
      </c>
      <c r="T44" s="431" t="str">
        <f t="shared" ca="1" si="33"/>
        <v>*</v>
      </c>
      <c r="U44" s="432" t="str">
        <f t="shared" ca="1" si="34"/>
        <v>*</v>
      </c>
    </row>
    <row r="45" spans="1:32" ht="19.5" customHeight="1">
      <c r="A45" s="70">
        <f t="shared" si="19"/>
        <v>16</v>
      </c>
      <c r="B45" s="70"/>
      <c r="C45" s="597"/>
      <c r="D45" s="598"/>
      <c r="E45" s="598"/>
      <c r="F45" s="141"/>
      <c r="G45" s="429" t="str">
        <f t="shared" ca="1" si="20"/>
        <v>*</v>
      </c>
      <c r="H45" s="430" t="str">
        <f t="shared" ca="1" si="21"/>
        <v>*</v>
      </c>
      <c r="I45" s="430" t="str">
        <f t="shared" ca="1" si="22"/>
        <v>*</v>
      </c>
      <c r="J45" s="430" t="str">
        <f t="shared" ca="1" si="23"/>
        <v>*</v>
      </c>
      <c r="K45" s="430" t="str">
        <f t="shared" ca="1" si="24"/>
        <v>*</v>
      </c>
      <c r="L45" s="430" t="str">
        <f t="shared" ca="1" si="25"/>
        <v>*</v>
      </c>
      <c r="M45" s="430" t="str">
        <f t="shared" ca="1" si="26"/>
        <v>*</v>
      </c>
      <c r="N45" s="430" t="str">
        <f t="shared" ca="1" si="27"/>
        <v>*</v>
      </c>
      <c r="O45" s="430" t="str">
        <f t="shared" ca="1" si="28"/>
        <v>*</v>
      </c>
      <c r="P45" s="430" t="str">
        <f t="shared" ca="1" si="29"/>
        <v>*</v>
      </c>
      <c r="Q45" s="430" t="str">
        <f t="shared" ca="1" si="30"/>
        <v>*</v>
      </c>
      <c r="R45" s="431" t="str">
        <f t="shared" ca="1" si="31"/>
        <v>*</v>
      </c>
      <c r="S45" s="431" t="str">
        <f t="shared" ca="1" si="32"/>
        <v>*</v>
      </c>
      <c r="T45" s="431" t="str">
        <f t="shared" ca="1" si="33"/>
        <v>*</v>
      </c>
      <c r="U45" s="432" t="str">
        <f t="shared" ca="1" si="34"/>
        <v>*</v>
      </c>
    </row>
    <row r="46" spans="1:32" ht="19.5" customHeight="1" thickBot="1">
      <c r="A46" s="70">
        <f t="shared" si="19"/>
        <v>16</v>
      </c>
      <c r="B46" s="70"/>
      <c r="C46" s="601"/>
      <c r="D46" s="602"/>
      <c r="E46" s="602"/>
      <c r="F46" s="142"/>
      <c r="G46" s="433" t="str">
        <f t="shared" ca="1" si="20"/>
        <v>*</v>
      </c>
      <c r="H46" s="434" t="str">
        <f t="shared" ca="1" si="21"/>
        <v>*</v>
      </c>
      <c r="I46" s="434" t="str">
        <f t="shared" ca="1" si="22"/>
        <v>*</v>
      </c>
      <c r="J46" s="434" t="str">
        <f t="shared" ca="1" si="23"/>
        <v>*</v>
      </c>
      <c r="K46" s="434" t="str">
        <f t="shared" ca="1" si="24"/>
        <v>*</v>
      </c>
      <c r="L46" s="434" t="str">
        <f t="shared" ca="1" si="25"/>
        <v>*</v>
      </c>
      <c r="M46" s="434" t="str">
        <f t="shared" ca="1" si="26"/>
        <v>*</v>
      </c>
      <c r="N46" s="434" t="str">
        <f t="shared" ca="1" si="27"/>
        <v>*</v>
      </c>
      <c r="O46" s="434" t="str">
        <f t="shared" ca="1" si="28"/>
        <v>*</v>
      </c>
      <c r="P46" s="434" t="str">
        <f t="shared" ca="1" si="29"/>
        <v>*</v>
      </c>
      <c r="Q46" s="434" t="str">
        <f t="shared" ca="1" si="30"/>
        <v>*</v>
      </c>
      <c r="R46" s="435" t="str">
        <f t="shared" ca="1" si="31"/>
        <v>*</v>
      </c>
      <c r="S46" s="435" t="str">
        <f t="shared" ca="1" si="32"/>
        <v>*</v>
      </c>
      <c r="T46" s="435" t="str">
        <f t="shared" ca="1" si="33"/>
        <v>*</v>
      </c>
      <c r="U46" s="436" t="str">
        <f t="shared" ca="1" si="34"/>
        <v>*</v>
      </c>
    </row>
    <row r="47" spans="1:32" ht="19.5" customHeight="1" thickBot="1">
      <c r="C47" s="603" t="s">
        <v>139</v>
      </c>
      <c r="D47" s="604"/>
      <c r="E47" s="604"/>
      <c r="F47" s="605"/>
      <c r="G47" s="437" t="str">
        <f t="shared" ref="G47:U47" ca="1" si="35">IF(SUM(G41:G46)=0,"0",SUM(G41:G46))</f>
        <v>0</v>
      </c>
      <c r="H47" s="437" t="str">
        <f t="shared" ca="1" si="35"/>
        <v>0</v>
      </c>
      <c r="I47" s="437" t="str">
        <f t="shared" ca="1" si="35"/>
        <v>0</v>
      </c>
      <c r="J47" s="437" t="str">
        <f t="shared" ca="1" si="35"/>
        <v>0</v>
      </c>
      <c r="K47" s="437" t="str">
        <f t="shared" ca="1" si="35"/>
        <v>0</v>
      </c>
      <c r="L47" s="437" t="str">
        <f t="shared" ca="1" si="35"/>
        <v>0</v>
      </c>
      <c r="M47" s="437" t="str">
        <f t="shared" ca="1" si="35"/>
        <v>0</v>
      </c>
      <c r="N47" s="437" t="str">
        <f t="shared" ca="1" si="35"/>
        <v>0</v>
      </c>
      <c r="O47" s="437" t="str">
        <f t="shared" ca="1" si="35"/>
        <v>0</v>
      </c>
      <c r="P47" s="437" t="str">
        <f t="shared" ca="1" si="35"/>
        <v>0</v>
      </c>
      <c r="Q47" s="438" t="str">
        <f t="shared" ca="1" si="35"/>
        <v>0</v>
      </c>
      <c r="R47" s="438" t="str">
        <f t="shared" ca="1" si="35"/>
        <v>0</v>
      </c>
      <c r="S47" s="438" t="str">
        <f t="shared" ca="1" si="35"/>
        <v>0</v>
      </c>
      <c r="T47" s="438" t="str">
        <f t="shared" ca="1" si="35"/>
        <v>0</v>
      </c>
      <c r="U47" s="439" t="str">
        <f t="shared" ca="1" si="35"/>
        <v>0</v>
      </c>
    </row>
    <row r="48" spans="1:32" ht="19.5" customHeight="1" thickTop="1">
      <c r="C48" s="607" t="s">
        <v>141</v>
      </c>
      <c r="D48" s="607"/>
      <c r="E48" s="607"/>
      <c r="F48" s="607"/>
      <c r="G48" s="440">
        <f ca="1">G47*$M$13</f>
        <v>0</v>
      </c>
      <c r="H48" s="440">
        <f t="shared" ref="H48:U48" ca="1" si="36">H47*$M$13</f>
        <v>0</v>
      </c>
      <c r="I48" s="440">
        <f t="shared" ca="1" si="36"/>
        <v>0</v>
      </c>
      <c r="J48" s="440">
        <f t="shared" ca="1" si="36"/>
        <v>0</v>
      </c>
      <c r="K48" s="440">
        <f t="shared" ca="1" si="36"/>
        <v>0</v>
      </c>
      <c r="L48" s="440">
        <f t="shared" ca="1" si="36"/>
        <v>0</v>
      </c>
      <c r="M48" s="440">
        <f t="shared" ca="1" si="36"/>
        <v>0</v>
      </c>
      <c r="N48" s="440">
        <f t="shared" ca="1" si="36"/>
        <v>0</v>
      </c>
      <c r="O48" s="440">
        <f t="shared" ca="1" si="36"/>
        <v>0</v>
      </c>
      <c r="P48" s="440">
        <f t="shared" ca="1" si="36"/>
        <v>0</v>
      </c>
      <c r="Q48" s="441">
        <f t="shared" ca="1" si="36"/>
        <v>0</v>
      </c>
      <c r="R48" s="441">
        <f t="shared" ca="1" si="36"/>
        <v>0</v>
      </c>
      <c r="S48" s="441">
        <f t="shared" ca="1" si="36"/>
        <v>0</v>
      </c>
      <c r="T48" s="441">
        <f t="shared" ca="1" si="36"/>
        <v>0</v>
      </c>
      <c r="U48" s="441">
        <f t="shared" ca="1" si="36"/>
        <v>0</v>
      </c>
    </row>
    <row r="49" spans="1:21" ht="19.5" customHeight="1">
      <c r="C49" s="607" t="s">
        <v>140</v>
      </c>
      <c r="D49" s="607"/>
      <c r="E49" s="607"/>
      <c r="F49" s="607"/>
      <c r="G49" s="442">
        <f t="shared" ref="G49:U49" ca="1" si="37">IF((G47="*"),"*",(G47*43.56))</f>
        <v>0</v>
      </c>
      <c r="H49" s="442">
        <f t="shared" ca="1" si="37"/>
        <v>0</v>
      </c>
      <c r="I49" s="442">
        <f t="shared" ca="1" si="37"/>
        <v>0</v>
      </c>
      <c r="J49" s="442">
        <f t="shared" ca="1" si="37"/>
        <v>0</v>
      </c>
      <c r="K49" s="442">
        <f t="shared" ca="1" si="37"/>
        <v>0</v>
      </c>
      <c r="L49" s="442">
        <f t="shared" ca="1" si="37"/>
        <v>0</v>
      </c>
      <c r="M49" s="442">
        <f t="shared" ca="1" si="37"/>
        <v>0</v>
      </c>
      <c r="N49" s="442">
        <f t="shared" ca="1" si="37"/>
        <v>0</v>
      </c>
      <c r="O49" s="442">
        <f t="shared" ca="1" si="37"/>
        <v>0</v>
      </c>
      <c r="P49" s="442">
        <f t="shared" ca="1" si="37"/>
        <v>0</v>
      </c>
      <c r="Q49" s="441">
        <f t="shared" ca="1" si="37"/>
        <v>0</v>
      </c>
      <c r="R49" s="441">
        <f t="shared" ca="1" si="37"/>
        <v>0</v>
      </c>
      <c r="S49" s="441">
        <f t="shared" ca="1" si="37"/>
        <v>0</v>
      </c>
      <c r="T49" s="441">
        <f t="shared" ca="1" si="37"/>
        <v>0</v>
      </c>
      <c r="U49" s="441">
        <f t="shared" ca="1" si="37"/>
        <v>0</v>
      </c>
    </row>
    <row r="50" spans="1:21" ht="19.5" customHeight="1">
      <c r="C50" s="607"/>
      <c r="D50" s="607"/>
      <c r="E50" s="607"/>
      <c r="F50" s="607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1:21" ht="9" customHeight="1" thickBot="1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ht="24" customHeight="1" thickTop="1">
      <c r="A52" s="17"/>
      <c r="B52" s="17"/>
      <c r="C52" s="622" t="s">
        <v>101</v>
      </c>
      <c r="D52" s="623"/>
      <c r="E52" s="623"/>
      <c r="F52" s="130" t="s">
        <v>119</v>
      </c>
      <c r="G52" s="610" t="s">
        <v>63</v>
      </c>
      <c r="H52" s="611"/>
      <c r="I52" s="611"/>
      <c r="J52" s="611"/>
      <c r="K52" s="611"/>
      <c r="L52" s="611"/>
      <c r="M52" s="611"/>
      <c r="N52" s="611"/>
      <c r="O52" s="611"/>
      <c r="P52" s="611"/>
      <c r="Q52" s="611"/>
      <c r="R52" s="611"/>
      <c r="S52" s="611"/>
      <c r="T52" s="611"/>
      <c r="U52" s="612"/>
    </row>
    <row r="53" spans="1:21" ht="19.5" customHeight="1" thickBot="1">
      <c r="A53" s="17"/>
      <c r="B53" s="17"/>
      <c r="C53" s="624"/>
      <c r="D53" s="625"/>
      <c r="E53" s="625"/>
      <c r="F53" s="75" t="s">
        <v>64</v>
      </c>
      <c r="G53" s="78" t="s">
        <v>0</v>
      </c>
      <c r="H53" s="343" t="s">
        <v>229</v>
      </c>
      <c r="I53" s="343" t="s">
        <v>230</v>
      </c>
      <c r="J53" s="76" t="s">
        <v>3</v>
      </c>
      <c r="K53" s="76" t="s">
        <v>4</v>
      </c>
      <c r="L53" s="76" t="s">
        <v>5</v>
      </c>
      <c r="M53" s="76" t="s">
        <v>8</v>
      </c>
      <c r="N53" s="76" t="s">
        <v>9</v>
      </c>
      <c r="O53" s="76" t="s">
        <v>10</v>
      </c>
      <c r="P53" s="76" t="s">
        <v>7</v>
      </c>
      <c r="Q53" s="76" t="s">
        <v>6</v>
      </c>
      <c r="R53" s="76" t="s">
        <v>11</v>
      </c>
      <c r="S53" s="76" t="s">
        <v>12</v>
      </c>
      <c r="T53" s="76" t="s">
        <v>13</v>
      </c>
      <c r="U53" s="77" t="s">
        <v>62</v>
      </c>
    </row>
    <row r="54" spans="1:21" ht="19.5" customHeight="1">
      <c r="A54" s="70">
        <f t="shared" ref="A54:A59" si="38">IF(($C54=id.255),3,IF(($C54=id.256),4,IF(($C54=id.215),5,IF(($C54=id.200),7,IF(($C54=id.285),10,IF(($C54=id.210),12,IF(($C54=id.106),13,IF(($C54=id.310),14,IF(($C54=id.141),15,IF(($C54=id.360),16,IF(($C54=id.245),17,IF(($C54=id.225),18,IF(($C54=id.192),19,IF(($C54=id.196),20,IF(($C54=id.330),21,IF(($C54=id.675),22,IF(($C54=id.730),23,IF(($C54=id.855),24,IF(($C54=id.178),25,IF(($C54=id.242),26,IF(($C54=id.180),28,IF(($C54=id.185),29,IF(($C54=id.195),30,IF(($C54=id.240),31,IF(($C54=id.300),32,IF(($C54=id.177),33,IF(($C54=id.860),35,IF(($C54=id.840),36,IF(($C54=id.865),37,IF(($C54=id.800),38,IF(($C54=id.600),41,IF(($C54=id.610),42,IF(($C54=id.630),43,IF(($C54=id.620),44,IF(($C54=id.x1),48,IF(($C54=id.x2),49,"47"))))))))))))))))))))))))))))))))))))</f>
        <v>16</v>
      </c>
      <c r="B54" s="70"/>
      <c r="C54" s="620"/>
      <c r="D54" s="621"/>
      <c r="E54" s="621"/>
      <c r="F54" s="140"/>
      <c r="G54" s="421" t="str">
        <f t="shared" ref="G54:G59" ca="1" si="39">IF((INDIRECT("'PRODUCT DATA'!$L"&amp;$A54&amp;""))=0,"*",((INDIRECT("'PRODUCT DATA'!$F"&amp;$A54&amp;""))*(INDIRECT("'PRODUCT DATA'!$L"&amp;$A54&amp;"")))*($F54/128))</f>
        <v>*</v>
      </c>
      <c r="H54" s="422" t="str">
        <f t="shared" ref="H54:H59" ca="1" si="40">IF((INDIRECT("'PRODUCT DATA'!$M"&amp;$A54&amp;""))=0,"*",((INDIRECT("'PRODUCT DATA'!$F"&amp;$A54&amp;""))*(INDIRECT("'PRODUCT DATA'!$M"&amp;$A54&amp;"")))*($F54/128))</f>
        <v>*</v>
      </c>
      <c r="I54" s="422" t="str">
        <f t="shared" ref="I54:I59" ca="1" si="41">IF((INDIRECT("'PRODUCT DATA'!$O"&amp;$A54&amp;""))=0,"*",((INDIRECT("'PRODUCT DATA'!$F"&amp;$A54&amp;""))*(INDIRECT("'PRODUCT DATA'!$O"&amp;$A54&amp;"")))*($F54/128))</f>
        <v>*</v>
      </c>
      <c r="J54" s="422" t="str">
        <f t="shared" ref="J54:J59" ca="1" si="42">IF((INDIRECT("'PRODUCT DATA'!$Q"&amp;$A54&amp;""))=0,"*",((INDIRECT("'PRODUCT DATA'!$F"&amp;$A54&amp;""))*(INDIRECT("'PRODUCT DATA'!$Q"&amp;$A54&amp;"")))*($F54/128))</f>
        <v>*</v>
      </c>
      <c r="K54" s="422" t="str">
        <f t="shared" ref="K54:K59" ca="1" si="43">IF((INDIRECT("'PRODUCT DATA'!$R"&amp;$A54&amp;""))=0,"*",((INDIRECT("'PRODUCT DATA'!$F"&amp;$A54&amp;""))*(INDIRECT("'PRODUCT DATA'!$R"&amp;$A54&amp;"")))*($F54/128))</f>
        <v>*</v>
      </c>
      <c r="L54" s="422" t="str">
        <f t="shared" ref="L54:L59" ca="1" si="44">IF((INDIRECT("'PRODUCT DATA'!$S"&amp;$A54&amp;""))=0,"*",((INDIRECT("'PRODUCT DATA'!$F"&amp;$A54&amp;""))*(INDIRECT("'PRODUCT DATA'!$S"&amp;$A54&amp;"")))*($F54/128))</f>
        <v>*</v>
      </c>
      <c r="M54" s="422" t="str">
        <f t="shared" ref="M54:M59" ca="1" si="45">IF((INDIRECT("'PRODUCT DATA'!$T"&amp;$A54&amp;""))=0,"*",((INDIRECT("'PRODUCT DATA'!$F"&amp;$A54&amp;""))*(INDIRECT("'PRODUCT DATA'!$T"&amp;$A54&amp;"")))*($F54/128))</f>
        <v>*</v>
      </c>
      <c r="N54" s="422" t="str">
        <f t="shared" ref="N54:N59" ca="1" si="46">IF((INDIRECT("'PRODUCT DATA'!$U"&amp;$A54&amp;""))=0,"*",((INDIRECT("'PRODUCT DATA'!$F"&amp;$A54&amp;""))*(INDIRECT("'PRODUCT DATA'!$U"&amp;$A54&amp;"")))*($F54/128))</f>
        <v>*</v>
      </c>
      <c r="O54" s="422" t="str">
        <f t="shared" ref="O54:O59" ca="1" si="47">IF((INDIRECT("'PRODUCT DATA'!$V"&amp;$A54&amp;""))=0,"*",((INDIRECT("'PRODUCT DATA'!$F"&amp;$A54&amp;""))*(INDIRECT("'PRODUCT DATA'!$V"&amp;$A54&amp;"")))*($F54/128))</f>
        <v>*</v>
      </c>
      <c r="P54" s="422" t="str">
        <f t="shared" ref="P54:P59" ca="1" si="48">IF((INDIRECT("'PRODUCT DATA'!$W"&amp;$A54&amp;""))=0,"*",((INDIRECT("'PRODUCT DATA'!$F"&amp;$A54&amp;""))*(INDIRECT("'PRODUCT DATA'!$W"&amp;$A54&amp;"")))*($F54/128))</f>
        <v>*</v>
      </c>
      <c r="Q54" s="422" t="str">
        <f t="shared" ref="Q54:Q59" ca="1" si="49">IF((INDIRECT("'PRODUCT DATA'!$X"&amp;$A54&amp;""))=0,"*",((INDIRECT("'PRODUCT DATA'!$F"&amp;$A54&amp;""))*(INDIRECT("'PRODUCT DATA'!$X"&amp;$A54&amp;"")))*($F54/128))</f>
        <v>*</v>
      </c>
      <c r="R54" s="423" t="str">
        <f t="shared" ref="R54:R59" ca="1" si="50">IF((INDIRECT("'PRODUCT DATA'!$Y"&amp;$A54&amp;""))=0,"*",((INDIRECT("'PRODUCT DATA'!$F"&amp;$A54&amp;""))*(INDIRECT("'PRODUCT DATA'!$Y"&amp;$A54&amp;"")))*($F54/128))</f>
        <v>*</v>
      </c>
      <c r="S54" s="423" t="str">
        <f t="shared" ref="S54:S59" ca="1" si="51">IF((INDIRECT("'PRODUCT DATA'!$Z"&amp;$A54&amp;""))=0,"*",((INDIRECT("'PRODUCT DATA'!$F"&amp;$A54&amp;""))*(INDIRECT("'PRODUCT DATA'!$Z"&amp;$A54&amp;"")))*($F54/128))</f>
        <v>*</v>
      </c>
      <c r="T54" s="423" t="str">
        <f t="shared" ref="T54:T59" ca="1" si="52">IF((INDIRECT("'PRODUCT DATA'!$AA"&amp;$A54&amp;""))=0,"*",((INDIRECT("'PRODUCT DATA'!$F"&amp;$A54&amp;""))*(INDIRECT("'PRODUCT DATA'!$AA"&amp;$A54&amp;"")))*($F54/128))</f>
        <v>*</v>
      </c>
      <c r="U54" s="424" t="str">
        <f t="shared" ref="U54:U59" ca="1" si="53">IF((INDIRECT("'PRODUCT DATA'!$AB"&amp;$A54&amp;""))=0,"*",((INDIRECT("'PRODUCT DATA'!$F"&amp;$A54&amp;""))*(INDIRECT("'PRODUCT DATA'!$AB"&amp;$A54&amp;"")))*($F54/128))</f>
        <v>*</v>
      </c>
    </row>
    <row r="55" spans="1:21" ht="19.5" customHeight="1">
      <c r="A55" s="70">
        <f t="shared" si="38"/>
        <v>16</v>
      </c>
      <c r="B55" s="70"/>
      <c r="C55" s="597"/>
      <c r="D55" s="598"/>
      <c r="E55" s="598"/>
      <c r="F55" s="141"/>
      <c r="G55" s="425" t="str">
        <f t="shared" ca="1" si="39"/>
        <v>*</v>
      </c>
      <c r="H55" s="426" t="str">
        <f t="shared" ca="1" si="40"/>
        <v>*</v>
      </c>
      <c r="I55" s="426" t="str">
        <f t="shared" ca="1" si="41"/>
        <v>*</v>
      </c>
      <c r="J55" s="426" t="str">
        <f t="shared" ca="1" si="42"/>
        <v>*</v>
      </c>
      <c r="K55" s="426" t="str">
        <f t="shared" ca="1" si="43"/>
        <v>*</v>
      </c>
      <c r="L55" s="426" t="str">
        <f t="shared" ca="1" si="44"/>
        <v>*</v>
      </c>
      <c r="M55" s="426" t="str">
        <f t="shared" ca="1" si="45"/>
        <v>*</v>
      </c>
      <c r="N55" s="426" t="str">
        <f t="shared" ca="1" si="46"/>
        <v>*</v>
      </c>
      <c r="O55" s="426" t="str">
        <f t="shared" ca="1" si="47"/>
        <v>*</v>
      </c>
      <c r="P55" s="426" t="str">
        <f t="shared" ca="1" si="48"/>
        <v>*</v>
      </c>
      <c r="Q55" s="426" t="str">
        <f t="shared" ca="1" si="49"/>
        <v>*</v>
      </c>
      <c r="R55" s="427" t="str">
        <f t="shared" ca="1" si="50"/>
        <v>*</v>
      </c>
      <c r="S55" s="427" t="str">
        <f t="shared" ca="1" si="51"/>
        <v>*</v>
      </c>
      <c r="T55" s="427" t="str">
        <f t="shared" ca="1" si="52"/>
        <v>*</v>
      </c>
      <c r="U55" s="428" t="str">
        <f t="shared" ca="1" si="53"/>
        <v>*</v>
      </c>
    </row>
    <row r="56" spans="1:21" ht="19.5" customHeight="1">
      <c r="A56" s="70">
        <f t="shared" si="38"/>
        <v>16</v>
      </c>
      <c r="B56" s="70"/>
      <c r="C56" s="597"/>
      <c r="D56" s="598"/>
      <c r="E56" s="598"/>
      <c r="F56" s="141"/>
      <c r="G56" s="429" t="str">
        <f t="shared" ca="1" si="39"/>
        <v>*</v>
      </c>
      <c r="H56" s="430" t="str">
        <f t="shared" ca="1" si="40"/>
        <v>*</v>
      </c>
      <c r="I56" s="430" t="str">
        <f t="shared" ca="1" si="41"/>
        <v>*</v>
      </c>
      <c r="J56" s="430" t="str">
        <f t="shared" ca="1" si="42"/>
        <v>*</v>
      </c>
      <c r="K56" s="430" t="str">
        <f t="shared" ca="1" si="43"/>
        <v>*</v>
      </c>
      <c r="L56" s="430" t="str">
        <f t="shared" ca="1" si="44"/>
        <v>*</v>
      </c>
      <c r="M56" s="430" t="str">
        <f t="shared" ca="1" si="45"/>
        <v>*</v>
      </c>
      <c r="N56" s="430" t="str">
        <f t="shared" ca="1" si="46"/>
        <v>*</v>
      </c>
      <c r="O56" s="430" t="str">
        <f t="shared" ca="1" si="47"/>
        <v>*</v>
      </c>
      <c r="P56" s="430" t="str">
        <f t="shared" ca="1" si="48"/>
        <v>*</v>
      </c>
      <c r="Q56" s="430" t="str">
        <f t="shared" ca="1" si="49"/>
        <v>*</v>
      </c>
      <c r="R56" s="431" t="str">
        <f t="shared" ca="1" si="50"/>
        <v>*</v>
      </c>
      <c r="S56" s="431" t="str">
        <f t="shared" ca="1" si="51"/>
        <v>*</v>
      </c>
      <c r="T56" s="431" t="str">
        <f t="shared" ca="1" si="52"/>
        <v>*</v>
      </c>
      <c r="U56" s="432" t="str">
        <f t="shared" ca="1" si="53"/>
        <v>*</v>
      </c>
    </row>
    <row r="57" spans="1:21" ht="19.5" customHeight="1">
      <c r="A57" s="70">
        <f t="shared" si="38"/>
        <v>16</v>
      </c>
      <c r="B57" s="70"/>
      <c r="C57" s="597"/>
      <c r="D57" s="598"/>
      <c r="E57" s="598"/>
      <c r="F57" s="141"/>
      <c r="G57" s="429" t="str">
        <f t="shared" ca="1" si="39"/>
        <v>*</v>
      </c>
      <c r="H57" s="430" t="str">
        <f t="shared" ca="1" si="40"/>
        <v>*</v>
      </c>
      <c r="I57" s="430" t="str">
        <f t="shared" ca="1" si="41"/>
        <v>*</v>
      </c>
      <c r="J57" s="430" t="str">
        <f t="shared" ca="1" si="42"/>
        <v>*</v>
      </c>
      <c r="K57" s="430" t="str">
        <f t="shared" ca="1" si="43"/>
        <v>*</v>
      </c>
      <c r="L57" s="430" t="str">
        <f t="shared" ca="1" si="44"/>
        <v>*</v>
      </c>
      <c r="M57" s="430" t="str">
        <f t="shared" ca="1" si="45"/>
        <v>*</v>
      </c>
      <c r="N57" s="430" t="str">
        <f t="shared" ca="1" si="46"/>
        <v>*</v>
      </c>
      <c r="O57" s="430" t="str">
        <f t="shared" ca="1" si="47"/>
        <v>*</v>
      </c>
      <c r="P57" s="430" t="str">
        <f t="shared" ca="1" si="48"/>
        <v>*</v>
      </c>
      <c r="Q57" s="430" t="str">
        <f t="shared" ca="1" si="49"/>
        <v>*</v>
      </c>
      <c r="R57" s="431" t="str">
        <f t="shared" ca="1" si="50"/>
        <v>*</v>
      </c>
      <c r="S57" s="431" t="str">
        <f t="shared" ca="1" si="51"/>
        <v>*</v>
      </c>
      <c r="T57" s="431" t="str">
        <f t="shared" ca="1" si="52"/>
        <v>*</v>
      </c>
      <c r="U57" s="432" t="str">
        <f t="shared" ca="1" si="53"/>
        <v>*</v>
      </c>
    </row>
    <row r="58" spans="1:21" ht="19.5" customHeight="1">
      <c r="A58" s="70">
        <f t="shared" si="38"/>
        <v>16</v>
      </c>
      <c r="B58" s="70"/>
      <c r="C58" s="597"/>
      <c r="D58" s="598"/>
      <c r="E58" s="598"/>
      <c r="F58" s="141"/>
      <c r="G58" s="429" t="str">
        <f t="shared" ca="1" si="39"/>
        <v>*</v>
      </c>
      <c r="H58" s="430" t="str">
        <f t="shared" ca="1" si="40"/>
        <v>*</v>
      </c>
      <c r="I58" s="430" t="str">
        <f t="shared" ca="1" si="41"/>
        <v>*</v>
      </c>
      <c r="J58" s="430" t="str">
        <f t="shared" ca="1" si="42"/>
        <v>*</v>
      </c>
      <c r="K58" s="430" t="str">
        <f t="shared" ca="1" si="43"/>
        <v>*</v>
      </c>
      <c r="L58" s="430" t="str">
        <f t="shared" ca="1" si="44"/>
        <v>*</v>
      </c>
      <c r="M58" s="430" t="str">
        <f t="shared" ca="1" si="45"/>
        <v>*</v>
      </c>
      <c r="N58" s="430" t="str">
        <f t="shared" ca="1" si="46"/>
        <v>*</v>
      </c>
      <c r="O58" s="430" t="str">
        <f t="shared" ca="1" si="47"/>
        <v>*</v>
      </c>
      <c r="P58" s="430" t="str">
        <f t="shared" ca="1" si="48"/>
        <v>*</v>
      </c>
      <c r="Q58" s="430" t="str">
        <f t="shared" ca="1" si="49"/>
        <v>*</v>
      </c>
      <c r="R58" s="431" t="str">
        <f t="shared" ca="1" si="50"/>
        <v>*</v>
      </c>
      <c r="S58" s="431" t="str">
        <f t="shared" ca="1" si="51"/>
        <v>*</v>
      </c>
      <c r="T58" s="431" t="str">
        <f t="shared" ca="1" si="52"/>
        <v>*</v>
      </c>
      <c r="U58" s="432" t="str">
        <f t="shared" ca="1" si="53"/>
        <v>*</v>
      </c>
    </row>
    <row r="59" spans="1:21" ht="19.5" customHeight="1" thickBot="1">
      <c r="A59" s="70">
        <f t="shared" si="38"/>
        <v>16</v>
      </c>
      <c r="B59" s="70"/>
      <c r="C59" s="601"/>
      <c r="D59" s="602"/>
      <c r="E59" s="602"/>
      <c r="F59" s="142"/>
      <c r="G59" s="433" t="str">
        <f t="shared" ca="1" si="39"/>
        <v>*</v>
      </c>
      <c r="H59" s="434" t="str">
        <f t="shared" ca="1" si="40"/>
        <v>*</v>
      </c>
      <c r="I59" s="434" t="str">
        <f t="shared" ca="1" si="41"/>
        <v>*</v>
      </c>
      <c r="J59" s="434" t="str">
        <f t="shared" ca="1" si="42"/>
        <v>*</v>
      </c>
      <c r="K59" s="434" t="str">
        <f t="shared" ca="1" si="43"/>
        <v>*</v>
      </c>
      <c r="L59" s="434" t="str">
        <f t="shared" ca="1" si="44"/>
        <v>*</v>
      </c>
      <c r="M59" s="434" t="str">
        <f t="shared" ca="1" si="45"/>
        <v>*</v>
      </c>
      <c r="N59" s="434" t="str">
        <f t="shared" ca="1" si="46"/>
        <v>*</v>
      </c>
      <c r="O59" s="434" t="str">
        <f t="shared" ca="1" si="47"/>
        <v>*</v>
      </c>
      <c r="P59" s="434" t="str">
        <f t="shared" ca="1" si="48"/>
        <v>*</v>
      </c>
      <c r="Q59" s="434" t="str">
        <f t="shared" ca="1" si="49"/>
        <v>*</v>
      </c>
      <c r="R59" s="435" t="str">
        <f t="shared" ca="1" si="50"/>
        <v>*</v>
      </c>
      <c r="S59" s="435" t="str">
        <f t="shared" ca="1" si="51"/>
        <v>*</v>
      </c>
      <c r="T59" s="435" t="str">
        <f t="shared" ca="1" si="52"/>
        <v>*</v>
      </c>
      <c r="U59" s="436" t="str">
        <f t="shared" ca="1" si="53"/>
        <v>*</v>
      </c>
    </row>
    <row r="60" spans="1:21" ht="19.5" customHeight="1" thickBot="1">
      <c r="C60" s="603" t="s">
        <v>139</v>
      </c>
      <c r="D60" s="604"/>
      <c r="E60" s="604"/>
      <c r="F60" s="605"/>
      <c r="G60" s="437" t="str">
        <f t="shared" ref="G60:U60" ca="1" si="54">IF(SUM(G54:G59)=0,"0",SUM(G54:G59))</f>
        <v>0</v>
      </c>
      <c r="H60" s="437" t="str">
        <f t="shared" ca="1" si="54"/>
        <v>0</v>
      </c>
      <c r="I60" s="437" t="str">
        <f t="shared" ca="1" si="54"/>
        <v>0</v>
      </c>
      <c r="J60" s="437" t="str">
        <f t="shared" ca="1" si="54"/>
        <v>0</v>
      </c>
      <c r="K60" s="437" t="str">
        <f t="shared" ca="1" si="54"/>
        <v>0</v>
      </c>
      <c r="L60" s="437" t="str">
        <f t="shared" ca="1" si="54"/>
        <v>0</v>
      </c>
      <c r="M60" s="437" t="str">
        <f t="shared" ca="1" si="54"/>
        <v>0</v>
      </c>
      <c r="N60" s="437" t="str">
        <f t="shared" ca="1" si="54"/>
        <v>0</v>
      </c>
      <c r="O60" s="437" t="str">
        <f t="shared" ca="1" si="54"/>
        <v>0</v>
      </c>
      <c r="P60" s="437" t="str">
        <f t="shared" ca="1" si="54"/>
        <v>0</v>
      </c>
      <c r="Q60" s="438" t="str">
        <f t="shared" ca="1" si="54"/>
        <v>0</v>
      </c>
      <c r="R60" s="438" t="str">
        <f t="shared" ca="1" si="54"/>
        <v>0</v>
      </c>
      <c r="S60" s="438" t="str">
        <f t="shared" ca="1" si="54"/>
        <v>0</v>
      </c>
      <c r="T60" s="438" t="str">
        <f t="shared" ca="1" si="54"/>
        <v>0</v>
      </c>
      <c r="U60" s="439" t="str">
        <f t="shared" ca="1" si="54"/>
        <v>0</v>
      </c>
    </row>
    <row r="61" spans="1:21" ht="19.5" customHeight="1" thickTop="1">
      <c r="C61" s="607" t="s">
        <v>141</v>
      </c>
      <c r="D61" s="607"/>
      <c r="E61" s="607"/>
      <c r="F61" s="607"/>
      <c r="G61" s="440">
        <f ca="1">G60*$M$14</f>
        <v>0</v>
      </c>
      <c r="H61" s="440">
        <f t="shared" ref="H61:U61" ca="1" si="55">H60*$M$14</f>
        <v>0</v>
      </c>
      <c r="I61" s="440">
        <f t="shared" ca="1" si="55"/>
        <v>0</v>
      </c>
      <c r="J61" s="440">
        <f t="shared" ca="1" si="55"/>
        <v>0</v>
      </c>
      <c r="K61" s="440">
        <f t="shared" ca="1" si="55"/>
        <v>0</v>
      </c>
      <c r="L61" s="440">
        <f t="shared" ca="1" si="55"/>
        <v>0</v>
      </c>
      <c r="M61" s="440">
        <f t="shared" ca="1" si="55"/>
        <v>0</v>
      </c>
      <c r="N61" s="440">
        <f t="shared" ca="1" si="55"/>
        <v>0</v>
      </c>
      <c r="O61" s="440">
        <f t="shared" ca="1" si="55"/>
        <v>0</v>
      </c>
      <c r="P61" s="440">
        <f t="shared" ca="1" si="55"/>
        <v>0</v>
      </c>
      <c r="Q61" s="441">
        <f t="shared" ca="1" si="55"/>
        <v>0</v>
      </c>
      <c r="R61" s="441">
        <f t="shared" ca="1" si="55"/>
        <v>0</v>
      </c>
      <c r="S61" s="441">
        <f t="shared" ca="1" si="55"/>
        <v>0</v>
      </c>
      <c r="T61" s="441">
        <f t="shared" ca="1" si="55"/>
        <v>0</v>
      </c>
      <c r="U61" s="441">
        <f t="shared" ca="1" si="55"/>
        <v>0</v>
      </c>
    </row>
    <row r="62" spans="1:21" ht="19.5" customHeight="1">
      <c r="C62" s="607" t="s">
        <v>140</v>
      </c>
      <c r="D62" s="607"/>
      <c r="E62" s="607"/>
      <c r="F62" s="607"/>
      <c r="G62" s="442">
        <f t="shared" ref="G62:U62" ca="1" si="56">IF((G60="*"),"*",(G60*43.56))</f>
        <v>0</v>
      </c>
      <c r="H62" s="442">
        <f t="shared" ca="1" si="56"/>
        <v>0</v>
      </c>
      <c r="I62" s="442">
        <f t="shared" ca="1" si="56"/>
        <v>0</v>
      </c>
      <c r="J62" s="442">
        <f t="shared" ca="1" si="56"/>
        <v>0</v>
      </c>
      <c r="K62" s="442">
        <f t="shared" ca="1" si="56"/>
        <v>0</v>
      </c>
      <c r="L62" s="442">
        <f t="shared" ca="1" si="56"/>
        <v>0</v>
      </c>
      <c r="M62" s="442">
        <f t="shared" ca="1" si="56"/>
        <v>0</v>
      </c>
      <c r="N62" s="442">
        <f t="shared" ca="1" si="56"/>
        <v>0</v>
      </c>
      <c r="O62" s="442">
        <f t="shared" ca="1" si="56"/>
        <v>0</v>
      </c>
      <c r="P62" s="442">
        <f t="shared" ca="1" si="56"/>
        <v>0</v>
      </c>
      <c r="Q62" s="441">
        <f t="shared" ca="1" si="56"/>
        <v>0</v>
      </c>
      <c r="R62" s="441">
        <f t="shared" ca="1" si="56"/>
        <v>0</v>
      </c>
      <c r="S62" s="441">
        <f t="shared" ca="1" si="56"/>
        <v>0</v>
      </c>
      <c r="T62" s="441">
        <f t="shared" ca="1" si="56"/>
        <v>0</v>
      </c>
      <c r="U62" s="441">
        <f t="shared" ca="1" si="56"/>
        <v>0</v>
      </c>
    </row>
    <row r="63" spans="1:21" ht="9.75" customHeight="1" thickBot="1">
      <c r="C63" s="607"/>
      <c r="D63" s="607"/>
      <c r="E63" s="607"/>
      <c r="F63" s="607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1:21" ht="24" customHeight="1" thickTop="1">
      <c r="A64" s="17"/>
      <c r="B64" s="17"/>
      <c r="C64" s="661" t="s">
        <v>204</v>
      </c>
      <c r="D64" s="662"/>
      <c r="E64" s="662"/>
      <c r="F64" s="130" t="s">
        <v>119</v>
      </c>
      <c r="G64" s="610" t="s">
        <v>63</v>
      </c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2"/>
    </row>
    <row r="65" spans="1:21" ht="19.5" customHeight="1" thickBot="1">
      <c r="A65" s="17"/>
      <c r="B65" s="17"/>
      <c r="C65" s="663"/>
      <c r="D65" s="664"/>
      <c r="E65" s="664"/>
      <c r="F65" s="75" t="s">
        <v>64</v>
      </c>
      <c r="G65" s="78" t="s">
        <v>0</v>
      </c>
      <c r="H65" s="343" t="s">
        <v>229</v>
      </c>
      <c r="I65" s="343" t="s">
        <v>230</v>
      </c>
      <c r="J65" s="76" t="s">
        <v>3</v>
      </c>
      <c r="K65" s="76" t="s">
        <v>4</v>
      </c>
      <c r="L65" s="76" t="s">
        <v>5</v>
      </c>
      <c r="M65" s="76" t="s">
        <v>8</v>
      </c>
      <c r="N65" s="76" t="s">
        <v>9</v>
      </c>
      <c r="O65" s="76" t="s">
        <v>10</v>
      </c>
      <c r="P65" s="76" t="s">
        <v>7</v>
      </c>
      <c r="Q65" s="76" t="s">
        <v>6</v>
      </c>
      <c r="R65" s="76" t="s">
        <v>11</v>
      </c>
      <c r="S65" s="76" t="s">
        <v>12</v>
      </c>
      <c r="T65" s="76" t="s">
        <v>13</v>
      </c>
      <c r="U65" s="77" t="s">
        <v>62</v>
      </c>
    </row>
    <row r="66" spans="1:21" ht="19.5" customHeight="1">
      <c r="A66" s="70">
        <f t="shared" ref="A66:A71" si="57">IF(($C66=id.255),3,IF(($C66=id.256),4,IF(($C66=id.215),5,IF(($C66=id.200),7,IF(($C66=id.285),10,IF(($C66=id.210),12,IF(($C66=id.106),13,IF(($C66=id.310),14,IF(($C66=id.141),15,IF(($C66=id.360),16,IF(($C66=id.245),17,IF(($C66=id.225),18,IF(($C66=id.192),19,IF(($C66=id.196),20,IF(($C66=id.330),21,IF(($C66=id.675),22,IF(($C66=id.730),23,IF(($C66=id.855),24,IF(($C66=id.178),25,IF(($C66=id.242),26,IF(($C66=id.180),28,IF(($C66=id.185),29,IF(($C66=id.195),30,IF(($C66=id.240),31,IF(($C66=id.300),32,IF(($C66=id.177),33,IF(($C66=id.860),35,IF(($C66=id.840),36,IF(($C66=id.865),37,IF(($C66=id.800),38,IF(($C66=id.600),41,IF(($C66=id.610),42,IF(($C66=id.630),43,IF(($C66=id.620),44,IF(($C66=id.x1),48,IF(($C66=id.x2),49,"47"))))))))))))))))))))))))))))))))))))</f>
        <v>16</v>
      </c>
      <c r="B66" s="70"/>
      <c r="C66" s="620"/>
      <c r="D66" s="621"/>
      <c r="E66" s="621"/>
      <c r="F66" s="140"/>
      <c r="G66" s="421" t="str">
        <f t="shared" ref="G66:G71" ca="1" si="58">IF((INDIRECT("'PRODUCT DATA'!$L"&amp;$A66&amp;""))=0,"*",((INDIRECT("'PRODUCT DATA'!$F"&amp;$A66&amp;""))*(INDIRECT("'PRODUCT DATA'!$L"&amp;$A66&amp;"")))*($F66/128))</f>
        <v>*</v>
      </c>
      <c r="H66" s="422" t="str">
        <f t="shared" ref="H66:H71" ca="1" si="59">IF((INDIRECT("'PRODUCT DATA'!$M"&amp;$A66&amp;""))=0,"*",((INDIRECT("'PRODUCT DATA'!$F"&amp;$A66&amp;""))*(INDIRECT("'PRODUCT DATA'!$M"&amp;$A66&amp;"")))*($F66/128))</f>
        <v>*</v>
      </c>
      <c r="I66" s="422" t="str">
        <f t="shared" ref="I66:I71" ca="1" si="60">IF((INDIRECT("'PRODUCT DATA'!$O"&amp;$A66&amp;""))=0,"*",((INDIRECT("'PRODUCT DATA'!$F"&amp;$A66&amp;""))*(INDIRECT("'PRODUCT DATA'!$O"&amp;$A66&amp;"")))*($F66/128))</f>
        <v>*</v>
      </c>
      <c r="J66" s="422" t="str">
        <f t="shared" ref="J66:J71" ca="1" si="61">IF((INDIRECT("'PRODUCT DATA'!$Q"&amp;$A66&amp;""))=0,"*",((INDIRECT("'PRODUCT DATA'!$F"&amp;$A66&amp;""))*(INDIRECT("'PRODUCT DATA'!$Q"&amp;$A66&amp;"")))*($F66/128))</f>
        <v>*</v>
      </c>
      <c r="K66" s="422" t="str">
        <f t="shared" ref="K66:K71" ca="1" si="62">IF((INDIRECT("'PRODUCT DATA'!$R"&amp;$A66&amp;""))=0,"*",((INDIRECT("'PRODUCT DATA'!$F"&amp;$A66&amp;""))*(INDIRECT("'PRODUCT DATA'!$R"&amp;$A66&amp;"")))*($F66/128))</f>
        <v>*</v>
      </c>
      <c r="L66" s="422" t="str">
        <f t="shared" ref="L66:L71" ca="1" si="63">IF((INDIRECT("'PRODUCT DATA'!$S"&amp;$A66&amp;""))=0,"*",((INDIRECT("'PRODUCT DATA'!$F"&amp;$A66&amp;""))*(INDIRECT("'PRODUCT DATA'!$S"&amp;$A66&amp;"")))*($F66/128))</f>
        <v>*</v>
      </c>
      <c r="M66" s="422" t="str">
        <f t="shared" ref="M66:M71" ca="1" si="64">IF((INDIRECT("'PRODUCT DATA'!$T"&amp;$A66&amp;""))=0,"*",((INDIRECT("'PRODUCT DATA'!$F"&amp;$A66&amp;""))*(INDIRECT("'PRODUCT DATA'!$T"&amp;$A66&amp;"")))*($F66/128))</f>
        <v>*</v>
      </c>
      <c r="N66" s="422" t="str">
        <f t="shared" ref="N66:N71" ca="1" si="65">IF((INDIRECT("'PRODUCT DATA'!$U"&amp;$A66&amp;""))=0,"*",((INDIRECT("'PRODUCT DATA'!$F"&amp;$A66&amp;""))*(INDIRECT("'PRODUCT DATA'!$U"&amp;$A66&amp;"")))*($F66/128))</f>
        <v>*</v>
      </c>
      <c r="O66" s="422" t="str">
        <f t="shared" ref="O66:O71" ca="1" si="66">IF((INDIRECT("'PRODUCT DATA'!$V"&amp;$A66&amp;""))=0,"*",((INDIRECT("'PRODUCT DATA'!$F"&amp;$A66&amp;""))*(INDIRECT("'PRODUCT DATA'!$V"&amp;$A66&amp;"")))*($F66/128))</f>
        <v>*</v>
      </c>
      <c r="P66" s="422" t="str">
        <f t="shared" ref="P66:P71" ca="1" si="67">IF((INDIRECT("'PRODUCT DATA'!$W"&amp;$A66&amp;""))=0,"*",((INDIRECT("'PRODUCT DATA'!$F"&amp;$A66&amp;""))*(INDIRECT("'PRODUCT DATA'!$W"&amp;$A66&amp;"")))*($F66/128))</f>
        <v>*</v>
      </c>
      <c r="Q66" s="422" t="str">
        <f t="shared" ref="Q66:Q71" ca="1" si="68">IF((INDIRECT("'PRODUCT DATA'!$X"&amp;$A66&amp;""))=0,"*",((INDIRECT("'PRODUCT DATA'!$F"&amp;$A66&amp;""))*(INDIRECT("'PRODUCT DATA'!$X"&amp;$A66&amp;"")))*($F66/128))</f>
        <v>*</v>
      </c>
      <c r="R66" s="423" t="str">
        <f t="shared" ref="R66:R71" ca="1" si="69">IF((INDIRECT("'PRODUCT DATA'!$Y"&amp;$A66&amp;""))=0,"*",((INDIRECT("'PRODUCT DATA'!$F"&amp;$A66&amp;""))*(INDIRECT("'PRODUCT DATA'!$Y"&amp;$A66&amp;"")))*($F66/128))</f>
        <v>*</v>
      </c>
      <c r="S66" s="423" t="str">
        <f t="shared" ref="S66:S71" ca="1" si="70">IF((INDIRECT("'PRODUCT DATA'!$Z"&amp;$A66&amp;""))=0,"*",((INDIRECT("'PRODUCT DATA'!$F"&amp;$A66&amp;""))*(INDIRECT("'PRODUCT DATA'!$Z"&amp;$A66&amp;"")))*($F66/128))</f>
        <v>*</v>
      </c>
      <c r="T66" s="423" t="str">
        <f t="shared" ref="T66:T71" ca="1" si="71">IF((INDIRECT("'PRODUCT DATA'!$AA"&amp;$A66&amp;""))=0,"*",((INDIRECT("'PRODUCT DATA'!$F"&amp;$A66&amp;""))*(INDIRECT("'PRODUCT DATA'!$AA"&amp;$A66&amp;"")))*($F66/128))</f>
        <v>*</v>
      </c>
      <c r="U66" s="424" t="str">
        <f t="shared" ref="U66:U71" ca="1" si="72">IF((INDIRECT("'PRODUCT DATA'!$AB"&amp;$A66&amp;""))=0,"*",((INDIRECT("'PRODUCT DATA'!$F"&amp;$A66&amp;""))*(INDIRECT("'PRODUCT DATA'!$AB"&amp;$A66&amp;"")))*($F66/128))</f>
        <v>*</v>
      </c>
    </row>
    <row r="67" spans="1:21" ht="19.5" customHeight="1">
      <c r="A67" s="70">
        <f t="shared" si="57"/>
        <v>16</v>
      </c>
      <c r="B67" s="70"/>
      <c r="C67" s="597"/>
      <c r="D67" s="598"/>
      <c r="E67" s="598"/>
      <c r="F67" s="277"/>
      <c r="G67" s="425" t="str">
        <f t="shared" ca="1" si="58"/>
        <v>*</v>
      </c>
      <c r="H67" s="426" t="str">
        <f t="shared" ca="1" si="59"/>
        <v>*</v>
      </c>
      <c r="I67" s="426" t="str">
        <f t="shared" ca="1" si="60"/>
        <v>*</v>
      </c>
      <c r="J67" s="426" t="str">
        <f t="shared" ca="1" si="61"/>
        <v>*</v>
      </c>
      <c r="K67" s="426" t="str">
        <f t="shared" ca="1" si="62"/>
        <v>*</v>
      </c>
      <c r="L67" s="426" t="str">
        <f t="shared" ca="1" si="63"/>
        <v>*</v>
      </c>
      <c r="M67" s="426" t="str">
        <f t="shared" ca="1" si="64"/>
        <v>*</v>
      </c>
      <c r="N67" s="426" t="str">
        <f t="shared" ca="1" si="65"/>
        <v>*</v>
      </c>
      <c r="O67" s="426" t="str">
        <f t="shared" ca="1" si="66"/>
        <v>*</v>
      </c>
      <c r="P67" s="426" t="str">
        <f t="shared" ca="1" si="67"/>
        <v>*</v>
      </c>
      <c r="Q67" s="426" t="str">
        <f t="shared" ca="1" si="68"/>
        <v>*</v>
      </c>
      <c r="R67" s="427" t="str">
        <f t="shared" ca="1" si="69"/>
        <v>*</v>
      </c>
      <c r="S67" s="427" t="str">
        <f t="shared" ca="1" si="70"/>
        <v>*</v>
      </c>
      <c r="T67" s="427" t="str">
        <f t="shared" ca="1" si="71"/>
        <v>*</v>
      </c>
      <c r="U67" s="428" t="str">
        <f t="shared" ca="1" si="72"/>
        <v>*</v>
      </c>
    </row>
    <row r="68" spans="1:21" ht="19.5" customHeight="1">
      <c r="A68" s="70">
        <f t="shared" si="57"/>
        <v>16</v>
      </c>
      <c r="B68" s="70"/>
      <c r="C68" s="597"/>
      <c r="D68" s="598"/>
      <c r="E68" s="598"/>
      <c r="F68" s="141"/>
      <c r="G68" s="429" t="str">
        <f t="shared" ca="1" si="58"/>
        <v>*</v>
      </c>
      <c r="H68" s="430" t="str">
        <f t="shared" ca="1" si="59"/>
        <v>*</v>
      </c>
      <c r="I68" s="430" t="str">
        <f t="shared" ca="1" si="60"/>
        <v>*</v>
      </c>
      <c r="J68" s="430" t="str">
        <f t="shared" ca="1" si="61"/>
        <v>*</v>
      </c>
      <c r="K68" s="430" t="str">
        <f t="shared" ca="1" si="62"/>
        <v>*</v>
      </c>
      <c r="L68" s="430" t="str">
        <f t="shared" ca="1" si="63"/>
        <v>*</v>
      </c>
      <c r="M68" s="430" t="str">
        <f t="shared" ca="1" si="64"/>
        <v>*</v>
      </c>
      <c r="N68" s="430" t="str">
        <f t="shared" ca="1" si="65"/>
        <v>*</v>
      </c>
      <c r="O68" s="430" t="str">
        <f t="shared" ca="1" si="66"/>
        <v>*</v>
      </c>
      <c r="P68" s="430" t="str">
        <f t="shared" ca="1" si="67"/>
        <v>*</v>
      </c>
      <c r="Q68" s="430" t="str">
        <f t="shared" ca="1" si="68"/>
        <v>*</v>
      </c>
      <c r="R68" s="431" t="str">
        <f t="shared" ca="1" si="69"/>
        <v>*</v>
      </c>
      <c r="S68" s="431" t="str">
        <f t="shared" ca="1" si="70"/>
        <v>*</v>
      </c>
      <c r="T68" s="431" t="str">
        <f t="shared" ca="1" si="71"/>
        <v>*</v>
      </c>
      <c r="U68" s="432" t="str">
        <f t="shared" ca="1" si="72"/>
        <v>*</v>
      </c>
    </row>
    <row r="69" spans="1:21" ht="19.5" customHeight="1">
      <c r="A69" s="70">
        <f t="shared" si="57"/>
        <v>16</v>
      </c>
      <c r="B69" s="70"/>
      <c r="C69" s="597"/>
      <c r="D69" s="598"/>
      <c r="E69" s="598"/>
      <c r="F69" s="141"/>
      <c r="G69" s="429" t="str">
        <f t="shared" ca="1" si="58"/>
        <v>*</v>
      </c>
      <c r="H69" s="430" t="str">
        <f t="shared" ca="1" si="59"/>
        <v>*</v>
      </c>
      <c r="I69" s="430" t="str">
        <f t="shared" ca="1" si="60"/>
        <v>*</v>
      </c>
      <c r="J69" s="430" t="str">
        <f t="shared" ca="1" si="61"/>
        <v>*</v>
      </c>
      <c r="K69" s="430" t="str">
        <f t="shared" ca="1" si="62"/>
        <v>*</v>
      </c>
      <c r="L69" s="430" t="str">
        <f t="shared" ca="1" si="63"/>
        <v>*</v>
      </c>
      <c r="M69" s="430" t="str">
        <f t="shared" ca="1" si="64"/>
        <v>*</v>
      </c>
      <c r="N69" s="430" t="str">
        <f t="shared" ca="1" si="65"/>
        <v>*</v>
      </c>
      <c r="O69" s="430" t="str">
        <f t="shared" ca="1" si="66"/>
        <v>*</v>
      </c>
      <c r="P69" s="430" t="str">
        <f t="shared" ca="1" si="67"/>
        <v>*</v>
      </c>
      <c r="Q69" s="430" t="str">
        <f t="shared" ca="1" si="68"/>
        <v>*</v>
      </c>
      <c r="R69" s="431" t="str">
        <f t="shared" ca="1" si="69"/>
        <v>*</v>
      </c>
      <c r="S69" s="431" t="str">
        <f t="shared" ca="1" si="70"/>
        <v>*</v>
      </c>
      <c r="T69" s="431" t="str">
        <f t="shared" ca="1" si="71"/>
        <v>*</v>
      </c>
      <c r="U69" s="432" t="str">
        <f t="shared" ca="1" si="72"/>
        <v>*</v>
      </c>
    </row>
    <row r="70" spans="1:21" ht="19.5" customHeight="1">
      <c r="A70" s="70">
        <f t="shared" si="57"/>
        <v>16</v>
      </c>
      <c r="B70" s="70"/>
      <c r="C70" s="597"/>
      <c r="D70" s="598"/>
      <c r="E70" s="598"/>
      <c r="F70" s="141"/>
      <c r="G70" s="429" t="str">
        <f t="shared" ca="1" si="58"/>
        <v>*</v>
      </c>
      <c r="H70" s="430" t="str">
        <f t="shared" ca="1" si="59"/>
        <v>*</v>
      </c>
      <c r="I70" s="430" t="str">
        <f t="shared" ca="1" si="60"/>
        <v>*</v>
      </c>
      <c r="J70" s="430" t="str">
        <f t="shared" ca="1" si="61"/>
        <v>*</v>
      </c>
      <c r="K70" s="430" t="str">
        <f t="shared" ca="1" si="62"/>
        <v>*</v>
      </c>
      <c r="L70" s="430" t="str">
        <f t="shared" ca="1" si="63"/>
        <v>*</v>
      </c>
      <c r="M70" s="430" t="str">
        <f t="shared" ca="1" si="64"/>
        <v>*</v>
      </c>
      <c r="N70" s="430" t="str">
        <f t="shared" ca="1" si="65"/>
        <v>*</v>
      </c>
      <c r="O70" s="430" t="str">
        <f t="shared" ca="1" si="66"/>
        <v>*</v>
      </c>
      <c r="P70" s="430" t="str">
        <f t="shared" ca="1" si="67"/>
        <v>*</v>
      </c>
      <c r="Q70" s="430" t="str">
        <f t="shared" ca="1" si="68"/>
        <v>*</v>
      </c>
      <c r="R70" s="431" t="str">
        <f t="shared" ca="1" si="69"/>
        <v>*</v>
      </c>
      <c r="S70" s="431" t="str">
        <f t="shared" ca="1" si="70"/>
        <v>*</v>
      </c>
      <c r="T70" s="431" t="str">
        <f t="shared" ca="1" si="71"/>
        <v>*</v>
      </c>
      <c r="U70" s="432" t="str">
        <f t="shared" ca="1" si="72"/>
        <v>*</v>
      </c>
    </row>
    <row r="71" spans="1:21" ht="19.5" customHeight="1" thickBot="1">
      <c r="A71" s="70">
        <f t="shared" si="57"/>
        <v>16</v>
      </c>
      <c r="B71" s="70"/>
      <c r="C71" s="601"/>
      <c r="D71" s="602"/>
      <c r="E71" s="602"/>
      <c r="F71" s="142"/>
      <c r="G71" s="433" t="str">
        <f t="shared" ca="1" si="58"/>
        <v>*</v>
      </c>
      <c r="H71" s="434" t="str">
        <f t="shared" ca="1" si="59"/>
        <v>*</v>
      </c>
      <c r="I71" s="434" t="str">
        <f t="shared" ca="1" si="60"/>
        <v>*</v>
      </c>
      <c r="J71" s="434" t="str">
        <f t="shared" ca="1" si="61"/>
        <v>*</v>
      </c>
      <c r="K71" s="434" t="str">
        <f t="shared" ca="1" si="62"/>
        <v>*</v>
      </c>
      <c r="L71" s="434" t="str">
        <f t="shared" ca="1" si="63"/>
        <v>*</v>
      </c>
      <c r="M71" s="434" t="str">
        <f t="shared" ca="1" si="64"/>
        <v>*</v>
      </c>
      <c r="N71" s="434" t="str">
        <f t="shared" ca="1" si="65"/>
        <v>*</v>
      </c>
      <c r="O71" s="434" t="str">
        <f t="shared" ca="1" si="66"/>
        <v>*</v>
      </c>
      <c r="P71" s="434" t="str">
        <f t="shared" ca="1" si="67"/>
        <v>*</v>
      </c>
      <c r="Q71" s="434" t="str">
        <f t="shared" ca="1" si="68"/>
        <v>*</v>
      </c>
      <c r="R71" s="435" t="str">
        <f t="shared" ca="1" si="69"/>
        <v>*</v>
      </c>
      <c r="S71" s="435" t="str">
        <f t="shared" ca="1" si="70"/>
        <v>*</v>
      </c>
      <c r="T71" s="435" t="str">
        <f t="shared" ca="1" si="71"/>
        <v>*</v>
      </c>
      <c r="U71" s="436" t="str">
        <f t="shared" ca="1" si="72"/>
        <v>*</v>
      </c>
    </row>
    <row r="72" spans="1:21" ht="19.5" customHeight="1" thickBot="1">
      <c r="C72" s="603" t="s">
        <v>139</v>
      </c>
      <c r="D72" s="604"/>
      <c r="E72" s="604"/>
      <c r="F72" s="605"/>
      <c r="G72" s="437" t="str">
        <f t="shared" ref="G72:U72" ca="1" si="73">IF(SUM(G66:G71)=0,"0",SUM(G66:G71))</f>
        <v>0</v>
      </c>
      <c r="H72" s="437" t="str">
        <f t="shared" ca="1" si="73"/>
        <v>0</v>
      </c>
      <c r="I72" s="437" t="str">
        <f t="shared" ca="1" si="73"/>
        <v>0</v>
      </c>
      <c r="J72" s="437" t="str">
        <f t="shared" ca="1" si="73"/>
        <v>0</v>
      </c>
      <c r="K72" s="437" t="str">
        <f t="shared" ca="1" si="73"/>
        <v>0</v>
      </c>
      <c r="L72" s="437" t="str">
        <f t="shared" ca="1" si="73"/>
        <v>0</v>
      </c>
      <c r="M72" s="437" t="str">
        <f t="shared" ca="1" si="73"/>
        <v>0</v>
      </c>
      <c r="N72" s="437" t="str">
        <f t="shared" ca="1" si="73"/>
        <v>0</v>
      </c>
      <c r="O72" s="437" t="str">
        <f t="shared" ca="1" si="73"/>
        <v>0</v>
      </c>
      <c r="P72" s="437" t="str">
        <f t="shared" ca="1" si="73"/>
        <v>0</v>
      </c>
      <c r="Q72" s="438" t="str">
        <f t="shared" ca="1" si="73"/>
        <v>0</v>
      </c>
      <c r="R72" s="438" t="str">
        <f t="shared" ca="1" si="73"/>
        <v>0</v>
      </c>
      <c r="S72" s="438" t="str">
        <f t="shared" ca="1" si="73"/>
        <v>0</v>
      </c>
      <c r="T72" s="438" t="str">
        <f t="shared" ca="1" si="73"/>
        <v>0</v>
      </c>
      <c r="U72" s="439" t="str">
        <f t="shared" ca="1" si="73"/>
        <v>0</v>
      </c>
    </row>
    <row r="73" spans="1:21" ht="19.5" customHeight="1" thickTop="1">
      <c r="C73" s="607" t="s">
        <v>141</v>
      </c>
      <c r="D73" s="607"/>
      <c r="E73" s="607"/>
      <c r="F73" s="607"/>
      <c r="G73" s="440">
        <f ca="1">G72*$M$15</f>
        <v>0</v>
      </c>
      <c r="H73" s="440">
        <f t="shared" ref="H73:U73" ca="1" si="74">H72*$M$15</f>
        <v>0</v>
      </c>
      <c r="I73" s="440">
        <f t="shared" ca="1" si="74"/>
        <v>0</v>
      </c>
      <c r="J73" s="440">
        <f t="shared" ca="1" si="74"/>
        <v>0</v>
      </c>
      <c r="K73" s="440">
        <f t="shared" ca="1" si="74"/>
        <v>0</v>
      </c>
      <c r="L73" s="440">
        <f t="shared" ca="1" si="74"/>
        <v>0</v>
      </c>
      <c r="M73" s="440">
        <f t="shared" ca="1" si="74"/>
        <v>0</v>
      </c>
      <c r="N73" s="440">
        <f t="shared" ca="1" si="74"/>
        <v>0</v>
      </c>
      <c r="O73" s="440">
        <f t="shared" ca="1" si="74"/>
        <v>0</v>
      </c>
      <c r="P73" s="440">
        <f t="shared" ca="1" si="74"/>
        <v>0</v>
      </c>
      <c r="Q73" s="441">
        <f t="shared" ca="1" si="74"/>
        <v>0</v>
      </c>
      <c r="R73" s="441">
        <f t="shared" ca="1" si="74"/>
        <v>0</v>
      </c>
      <c r="S73" s="441">
        <f t="shared" ca="1" si="74"/>
        <v>0</v>
      </c>
      <c r="T73" s="441">
        <f t="shared" ca="1" si="74"/>
        <v>0</v>
      </c>
      <c r="U73" s="441">
        <f t="shared" ca="1" si="74"/>
        <v>0</v>
      </c>
    </row>
    <row r="74" spans="1:21" ht="19.5" customHeight="1">
      <c r="C74" s="607" t="s">
        <v>140</v>
      </c>
      <c r="D74" s="607"/>
      <c r="E74" s="607"/>
      <c r="F74" s="607"/>
      <c r="G74" s="442">
        <f t="shared" ref="G74:U74" ca="1" si="75">IF((G72="*"),"*",(G72*43.56))</f>
        <v>0</v>
      </c>
      <c r="H74" s="442">
        <f t="shared" ca="1" si="75"/>
        <v>0</v>
      </c>
      <c r="I74" s="442">
        <f t="shared" ca="1" si="75"/>
        <v>0</v>
      </c>
      <c r="J74" s="442">
        <f t="shared" ca="1" si="75"/>
        <v>0</v>
      </c>
      <c r="K74" s="442">
        <f t="shared" ca="1" si="75"/>
        <v>0</v>
      </c>
      <c r="L74" s="442">
        <f t="shared" ca="1" si="75"/>
        <v>0</v>
      </c>
      <c r="M74" s="442">
        <f t="shared" ca="1" si="75"/>
        <v>0</v>
      </c>
      <c r="N74" s="442">
        <f t="shared" ca="1" si="75"/>
        <v>0</v>
      </c>
      <c r="O74" s="442">
        <f t="shared" ca="1" si="75"/>
        <v>0</v>
      </c>
      <c r="P74" s="442">
        <f t="shared" ca="1" si="75"/>
        <v>0</v>
      </c>
      <c r="Q74" s="441">
        <f t="shared" ca="1" si="75"/>
        <v>0</v>
      </c>
      <c r="R74" s="441">
        <f t="shared" ca="1" si="75"/>
        <v>0</v>
      </c>
      <c r="S74" s="441">
        <f t="shared" ca="1" si="75"/>
        <v>0</v>
      </c>
      <c r="T74" s="441">
        <f t="shared" ca="1" si="75"/>
        <v>0</v>
      </c>
      <c r="U74" s="441">
        <f t="shared" ca="1" si="75"/>
        <v>0</v>
      </c>
    </row>
    <row r="75" spans="1:21" ht="19.5" customHeight="1">
      <c r="C75" s="110"/>
      <c r="D75" s="110"/>
      <c r="E75" s="110"/>
      <c r="F75" s="110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1:21" ht="9" customHeight="1" thickBot="1"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ht="24" customHeight="1" thickTop="1">
      <c r="A77" s="17"/>
      <c r="B77" s="17"/>
      <c r="C77" s="618"/>
      <c r="D77" s="619"/>
      <c r="E77" s="619"/>
      <c r="F77" s="130" t="s">
        <v>120</v>
      </c>
      <c r="G77" s="610" t="s">
        <v>63</v>
      </c>
      <c r="H77" s="611"/>
      <c r="I77" s="611"/>
      <c r="J77" s="611"/>
      <c r="K77" s="611"/>
      <c r="L77" s="611"/>
      <c r="M77" s="611"/>
      <c r="N77" s="611"/>
      <c r="O77" s="611"/>
      <c r="P77" s="611"/>
      <c r="Q77" s="611"/>
      <c r="R77" s="611"/>
      <c r="S77" s="611"/>
      <c r="T77" s="611"/>
      <c r="U77" s="612"/>
    </row>
    <row r="78" spans="1:21" ht="19.5" customHeight="1" thickBot="1">
      <c r="A78" s="17"/>
      <c r="B78" s="17"/>
      <c r="C78" s="616" t="s">
        <v>179</v>
      </c>
      <c r="D78" s="617"/>
      <c r="E78" s="617"/>
      <c r="F78" s="75" t="s">
        <v>64</v>
      </c>
      <c r="G78" s="78" t="s">
        <v>0</v>
      </c>
      <c r="H78" s="343" t="s">
        <v>229</v>
      </c>
      <c r="I78" s="343" t="s">
        <v>230</v>
      </c>
      <c r="J78" s="76" t="s">
        <v>3</v>
      </c>
      <c r="K78" s="76" t="s">
        <v>4</v>
      </c>
      <c r="L78" s="76" t="s">
        <v>5</v>
      </c>
      <c r="M78" s="76" t="s">
        <v>8</v>
      </c>
      <c r="N78" s="76" t="s">
        <v>9</v>
      </c>
      <c r="O78" s="76" t="s">
        <v>10</v>
      </c>
      <c r="P78" s="76" t="s">
        <v>7</v>
      </c>
      <c r="Q78" s="76" t="s">
        <v>6</v>
      </c>
      <c r="R78" s="76" t="s">
        <v>11</v>
      </c>
      <c r="S78" s="76" t="s">
        <v>12</v>
      </c>
      <c r="T78" s="76" t="s">
        <v>13</v>
      </c>
      <c r="U78" s="77" t="s">
        <v>62</v>
      </c>
    </row>
    <row r="79" spans="1:21" ht="19.5" customHeight="1" thickBot="1">
      <c r="A79" s="70" t="str">
        <f>IF(($C79=id.x3),50,"47")</f>
        <v>47</v>
      </c>
      <c r="B79" s="70"/>
      <c r="C79" s="613"/>
      <c r="D79" s="614"/>
      <c r="E79" s="615"/>
      <c r="F79" s="309"/>
      <c r="G79" s="410" t="str">
        <f ca="1">IF((INDIRECT("'PRODUCT DATA'!$L"&amp;$A79&amp;""))=0,"0",((INDIRECT("'PRODUCT DATA'!$L"&amp;$A79&amp;""))*($F79)))</f>
        <v>0</v>
      </c>
      <c r="H79" s="410" t="str">
        <f ca="1">IF((INDIRECT("'PRODUCT DATA'!$M"&amp;$A79&amp;""))=0,"0",((INDIRECT("'PRODUCT DATA'!$M"&amp;$A79&amp;""))*($F79)))</f>
        <v>0</v>
      </c>
      <c r="I79" s="410" t="str">
        <f ca="1">IF((INDIRECT("'PRODUCT DATA'!$O"&amp;$A79&amp;""))=0,"0",((INDIRECT("'PRODUCT DATA'!$O"&amp;$A79&amp;""))*($F79)))</f>
        <v>0</v>
      </c>
      <c r="J79" s="410" t="str">
        <f ca="1">IF((INDIRECT("'PRODUCT DATA'!$Q"&amp;$A79&amp;""))=0,"0",((INDIRECT("'PRODUCT DATA'!$Q"&amp;$A79&amp;""))*($F79)))</f>
        <v>0</v>
      </c>
      <c r="K79" s="410" t="str">
        <f ca="1">IF((INDIRECT("'PRODUCT DATA'!$R"&amp;$A79&amp;""))=0,"0",((INDIRECT("'PRODUCT DATA'!$R"&amp;$A79&amp;""))*($F79)))</f>
        <v>0</v>
      </c>
      <c r="L79" s="410" t="str">
        <f ca="1">IF((INDIRECT("'PRODUCT DATA'!$S"&amp;$A79&amp;""))=0,"0",((INDIRECT("'PRODUCT DATA'!$S"&amp;$A79&amp;""))*($F79)))</f>
        <v>0</v>
      </c>
      <c r="M79" s="410" t="str">
        <f ca="1">IF((INDIRECT("'PRODUCT DATA'!$T"&amp;$A79&amp;""))=0,"0",((INDIRECT("'PRODUCT DATA'!$T"&amp;$A79&amp;""))*($F79)))</f>
        <v>0</v>
      </c>
      <c r="N79" s="410" t="str">
        <f ca="1">IF((INDIRECT("'PRODUCT DATA'!$U"&amp;$A79&amp;""))=0,"0",((INDIRECT("'PRODUCT DATA'!$U"&amp;$A79&amp;""))*($F79)))</f>
        <v>0</v>
      </c>
      <c r="O79" s="410" t="str">
        <f ca="1">IF((INDIRECT("'PRODUCT DATA'!$V"&amp;$A79&amp;""))=0,"0",((INDIRECT("'PRODUCT DATA'!$V"&amp;$A79&amp;""))*($F79)))</f>
        <v>0</v>
      </c>
      <c r="P79" s="410" t="str">
        <f ca="1">IF((INDIRECT("'PRODUCT DATA'!$W"&amp;$A79&amp;""))=0,"0",((INDIRECT("'PRODUCT DATA'!$W"&amp;$A79&amp;""))*($F79)))</f>
        <v>0</v>
      </c>
      <c r="Q79" s="411" t="str">
        <f ca="1">IF((INDIRECT("'PRODUCT DATA'!$X"&amp;$A79&amp;""))=0,"0",((INDIRECT("'PRODUCT DATA'!$X"&amp;$A79&amp;""))*($F79)))</f>
        <v>0</v>
      </c>
      <c r="R79" s="411" t="str">
        <f ca="1">IF((INDIRECT("'PRODUCT DATA'!$Y"&amp;$A79&amp;""))=0,"0",((INDIRECT("'PRODUCT DATA'!$Y"&amp;$A79&amp;""))*($F79)))</f>
        <v>0</v>
      </c>
      <c r="S79" s="411" t="str">
        <f ca="1">IF((INDIRECT("'PRODUCT DATA'!$Z"&amp;$A79&amp;""))=0,"0",((INDIRECT("'PRODUCT DATA'!$Z"&amp;$A79&amp;""))*($F79)))</f>
        <v>0</v>
      </c>
      <c r="T79" s="411" t="str">
        <f ca="1">IF((INDIRECT("'PRODUCT DATA'!$AA"&amp;$A79&amp;""))=0,"0",((INDIRECT("'PRODUCT DATA'!$AA"&amp;$A79&amp;""))*($F79)))</f>
        <v>0</v>
      </c>
      <c r="U79" s="412" t="str">
        <f ca="1">IF((INDIRECT("'PRODUCT DATA'!$AB"&amp;$A79&amp;""))=0,"0",((INDIRECT("'PRODUCT DATA'!$AB"&amp;$A79&amp;""))*($F79)))</f>
        <v>0</v>
      </c>
    </row>
    <row r="80" spans="1:21" ht="19.5" customHeight="1">
      <c r="C80" s="606" t="s">
        <v>141</v>
      </c>
      <c r="D80" s="607"/>
      <c r="E80" s="607"/>
      <c r="F80" s="607"/>
      <c r="G80" s="404">
        <f ca="1">G79*$R$12</f>
        <v>0</v>
      </c>
      <c r="H80" s="404">
        <f t="shared" ref="H80:U80" ca="1" si="76">H79*$R$12</f>
        <v>0</v>
      </c>
      <c r="I80" s="404">
        <f t="shared" ca="1" si="76"/>
        <v>0</v>
      </c>
      <c r="J80" s="404">
        <f t="shared" ca="1" si="76"/>
        <v>0</v>
      </c>
      <c r="K80" s="404">
        <f t="shared" ca="1" si="76"/>
        <v>0</v>
      </c>
      <c r="L80" s="404">
        <f t="shared" ca="1" si="76"/>
        <v>0</v>
      </c>
      <c r="M80" s="404">
        <f t="shared" ca="1" si="76"/>
        <v>0</v>
      </c>
      <c r="N80" s="404">
        <f t="shared" ca="1" si="76"/>
        <v>0</v>
      </c>
      <c r="O80" s="404">
        <f t="shared" ca="1" si="76"/>
        <v>0</v>
      </c>
      <c r="P80" s="404">
        <f t="shared" ca="1" si="76"/>
        <v>0</v>
      </c>
      <c r="Q80" s="405">
        <f t="shared" ca="1" si="76"/>
        <v>0</v>
      </c>
      <c r="R80" s="405">
        <f t="shared" ca="1" si="76"/>
        <v>0</v>
      </c>
      <c r="S80" s="405">
        <f t="shared" ca="1" si="76"/>
        <v>0</v>
      </c>
      <c r="T80" s="405">
        <f t="shared" ca="1" si="76"/>
        <v>0</v>
      </c>
      <c r="U80" s="409">
        <f t="shared" ca="1" si="76"/>
        <v>0</v>
      </c>
    </row>
    <row r="81" spans="1:22" ht="19.5" customHeight="1">
      <c r="C81" s="606" t="s">
        <v>106</v>
      </c>
      <c r="D81" s="607"/>
      <c r="E81" s="607"/>
      <c r="F81" s="607"/>
      <c r="G81" s="404">
        <f t="shared" ref="G81:U81" ca="1" si="77">IF((G79="*"),"*",(G79*43.56))</f>
        <v>0</v>
      </c>
      <c r="H81" s="404">
        <f t="shared" ca="1" si="77"/>
        <v>0</v>
      </c>
      <c r="I81" s="404">
        <f t="shared" ca="1" si="77"/>
        <v>0</v>
      </c>
      <c r="J81" s="404">
        <f t="shared" ca="1" si="77"/>
        <v>0</v>
      </c>
      <c r="K81" s="404">
        <f t="shared" ca="1" si="77"/>
        <v>0</v>
      </c>
      <c r="L81" s="404">
        <f t="shared" ca="1" si="77"/>
        <v>0</v>
      </c>
      <c r="M81" s="404">
        <f t="shared" ca="1" si="77"/>
        <v>0</v>
      </c>
      <c r="N81" s="404">
        <f t="shared" ca="1" si="77"/>
        <v>0</v>
      </c>
      <c r="O81" s="404">
        <f t="shared" ca="1" si="77"/>
        <v>0</v>
      </c>
      <c r="P81" s="404">
        <f t="shared" ca="1" si="77"/>
        <v>0</v>
      </c>
      <c r="Q81" s="405">
        <f t="shared" ca="1" si="77"/>
        <v>0</v>
      </c>
      <c r="R81" s="405">
        <f t="shared" ca="1" si="77"/>
        <v>0</v>
      </c>
      <c r="S81" s="405">
        <f t="shared" ca="1" si="77"/>
        <v>0</v>
      </c>
      <c r="T81" s="405">
        <f t="shared" ca="1" si="77"/>
        <v>0</v>
      </c>
      <c r="U81" s="409">
        <f t="shared" ca="1" si="77"/>
        <v>0</v>
      </c>
    </row>
    <row r="82" spans="1:22" ht="19.5" customHeight="1" thickBot="1">
      <c r="C82" s="608" t="s">
        <v>185</v>
      </c>
      <c r="D82" s="609"/>
      <c r="E82" s="609"/>
      <c r="F82" s="75" t="s">
        <v>64</v>
      </c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3"/>
    </row>
    <row r="83" spans="1:22" ht="19.5" customHeight="1" thickBot="1">
      <c r="A83" s="70">
        <f>IF(($C83=id.1220),52,IF(($C83=id.1270),53,IF(($C83=id.1200),54,IF(($C83=id.1340),55,IF(($C83=id.1240),56,IF(($C83=id.2030),66,IF(($C83=id.1360),68,IF(($C83=id.1370),69,IF(($C83=id.2020),70,IF(($C83=id.2000),71,IF(($C83=id.z1),73,IF(($C83=id.z2),74,"72"))))))))))))</f>
        <v>52</v>
      </c>
      <c r="B83" s="70"/>
      <c r="C83" s="599"/>
      <c r="D83" s="600"/>
      <c r="E83" s="600"/>
      <c r="F83" s="143"/>
      <c r="G83" s="410" t="str">
        <f ca="1">IF((INDIRECT("'PRODUCT DATA'!$L"&amp;$A83&amp;""))=0,"0",((INDIRECT("'PRODUCT DATA'!$L"&amp;$A83&amp;""))*($F83)))</f>
        <v>0</v>
      </c>
      <c r="H83" s="410" t="str">
        <f ca="1">IF((INDIRECT("'PRODUCT DATA'!$M"&amp;$A83&amp;""))=0,"0",((INDIRECT("'PRODUCT DATA'!$M"&amp;$A83&amp;""))*($F83)))</f>
        <v>0</v>
      </c>
      <c r="I83" s="410" t="str">
        <f ca="1">IF((INDIRECT("'PRODUCT DATA'!$O"&amp;$A83&amp;""))=0,"0",((INDIRECT("'PRODUCT DATA'!$O"&amp;$A83&amp;""))*($F83)))</f>
        <v>0</v>
      </c>
      <c r="J83" s="410" t="str">
        <f ca="1">IF((INDIRECT("'PRODUCT DATA'!$Q"&amp;$A83&amp;""))=0,"0",((INDIRECT("'PRODUCT DATA'!$Q"&amp;$A83&amp;""))*($F83)))</f>
        <v>0</v>
      </c>
      <c r="K83" s="410" t="str">
        <f ca="1">IF((INDIRECT("'PRODUCT DATA'!$R"&amp;$A83&amp;""))=0,"0",((INDIRECT("'PRODUCT DATA'!$R"&amp;$A83&amp;""))*($F83)))</f>
        <v>0</v>
      </c>
      <c r="L83" s="410" t="str">
        <f ca="1">IF((INDIRECT("'PRODUCT DATA'!$S"&amp;$A83&amp;""))=0,"0",((INDIRECT("'PRODUCT DATA'!$S"&amp;$A83&amp;""))*($F83)))</f>
        <v>0</v>
      </c>
      <c r="M83" s="410" t="str">
        <f ca="1">IF((INDIRECT("'PRODUCT DATA'!$T"&amp;$A83&amp;""))=0,"0",((INDIRECT("'PRODUCT DATA'!$T"&amp;$A83&amp;""))*($F83)))</f>
        <v>0</v>
      </c>
      <c r="N83" s="410" t="str">
        <f ca="1">IF((INDIRECT("'PRODUCT DATA'!$U"&amp;$A83&amp;""))=0,"0",((INDIRECT("'PRODUCT DATA'!$U"&amp;$A83&amp;""))*($F83)))</f>
        <v>0</v>
      </c>
      <c r="O83" s="410" t="str">
        <f ca="1">IF((INDIRECT("'PRODUCT DATA'!$V"&amp;$A83&amp;""))=0,"0",((INDIRECT("'PRODUCT DATA'!$V"&amp;$A83&amp;""))*($F83)))</f>
        <v>0</v>
      </c>
      <c r="P83" s="410" t="str">
        <f ca="1">IF((INDIRECT("'PRODUCT DATA'!$W"&amp;$A83&amp;""))=0,"0",((INDIRECT("'PRODUCT DATA'!$W"&amp;$A83&amp;""))*($F83)))</f>
        <v>0</v>
      </c>
      <c r="Q83" s="411" t="str">
        <f ca="1">IF((INDIRECT("'PRODUCT DATA'!$X"&amp;$A83&amp;""))=0,"0",((INDIRECT("'PRODUCT DATA'!$X"&amp;$A83&amp;""))*($F83)))</f>
        <v>0</v>
      </c>
      <c r="R83" s="411" t="str">
        <f ca="1">IF((INDIRECT("'PRODUCT DATA'!$Y"&amp;$A83&amp;""))=0,"0",((INDIRECT("'PRODUCT DATA'!$Y"&amp;$A83&amp;""))*($F83)))</f>
        <v>0</v>
      </c>
      <c r="S83" s="411" t="str">
        <f ca="1">IF((INDIRECT("'PRODUCT DATA'!$Z"&amp;$A83&amp;""))=0,"0",((INDIRECT("'PRODUCT DATA'!$Z"&amp;$A83&amp;""))*($F83)))</f>
        <v>0</v>
      </c>
      <c r="T83" s="411" t="str">
        <f ca="1">IF((INDIRECT("'PRODUCT DATA'!$AA"&amp;$A83&amp;""))=0,"0",((INDIRECT("'PRODUCT DATA'!$AA"&amp;$A83&amp;""))*($F83)))</f>
        <v>0</v>
      </c>
      <c r="U83" s="412" t="str">
        <f ca="1">IF((INDIRECT("'PRODUCT DATA'!$AB"&amp;$A83&amp;""))=0,"0",((INDIRECT("'PRODUCT DATA'!$AB"&amp;$A83&amp;""))*($F83)))</f>
        <v>0</v>
      </c>
    </row>
    <row r="84" spans="1:22" ht="19.5" customHeight="1">
      <c r="C84" s="606" t="s">
        <v>141</v>
      </c>
      <c r="D84" s="607"/>
      <c r="E84" s="607"/>
      <c r="F84" s="607"/>
      <c r="G84" s="404">
        <f ca="1">G83*$R$13</f>
        <v>0</v>
      </c>
      <c r="H84" s="404">
        <f t="shared" ref="H84:U84" ca="1" si="78">H83*$R$13</f>
        <v>0</v>
      </c>
      <c r="I84" s="404">
        <f t="shared" ca="1" si="78"/>
        <v>0</v>
      </c>
      <c r="J84" s="404">
        <f t="shared" ca="1" si="78"/>
        <v>0</v>
      </c>
      <c r="K84" s="404">
        <f t="shared" ca="1" si="78"/>
        <v>0</v>
      </c>
      <c r="L84" s="404">
        <f t="shared" ca="1" si="78"/>
        <v>0</v>
      </c>
      <c r="M84" s="404">
        <f t="shared" ca="1" si="78"/>
        <v>0</v>
      </c>
      <c r="N84" s="404">
        <f t="shared" ca="1" si="78"/>
        <v>0</v>
      </c>
      <c r="O84" s="404">
        <f t="shared" ca="1" si="78"/>
        <v>0</v>
      </c>
      <c r="P84" s="404">
        <f t="shared" ca="1" si="78"/>
        <v>0</v>
      </c>
      <c r="Q84" s="405">
        <f t="shared" ca="1" si="78"/>
        <v>0</v>
      </c>
      <c r="R84" s="405">
        <f t="shared" ca="1" si="78"/>
        <v>0</v>
      </c>
      <c r="S84" s="405">
        <f t="shared" ca="1" si="78"/>
        <v>0</v>
      </c>
      <c r="T84" s="405">
        <f t="shared" ca="1" si="78"/>
        <v>0</v>
      </c>
      <c r="U84" s="409">
        <f t="shared" ca="1" si="78"/>
        <v>0</v>
      </c>
    </row>
    <row r="85" spans="1:22" ht="19.5" customHeight="1">
      <c r="C85" s="606" t="s">
        <v>106</v>
      </c>
      <c r="D85" s="607"/>
      <c r="E85" s="607"/>
      <c r="F85" s="607"/>
      <c r="G85" s="404">
        <f t="shared" ref="G85:U85" ca="1" si="79">IF((G83="*"),"*",(G83*43.56))</f>
        <v>0</v>
      </c>
      <c r="H85" s="404">
        <f t="shared" ca="1" si="79"/>
        <v>0</v>
      </c>
      <c r="I85" s="404">
        <f t="shared" ca="1" si="79"/>
        <v>0</v>
      </c>
      <c r="J85" s="404">
        <f t="shared" ca="1" si="79"/>
        <v>0</v>
      </c>
      <c r="K85" s="404">
        <f t="shared" ca="1" si="79"/>
        <v>0</v>
      </c>
      <c r="L85" s="404">
        <f t="shared" ca="1" si="79"/>
        <v>0</v>
      </c>
      <c r="M85" s="404">
        <f t="shared" ca="1" si="79"/>
        <v>0</v>
      </c>
      <c r="N85" s="404">
        <f t="shared" ca="1" si="79"/>
        <v>0</v>
      </c>
      <c r="O85" s="404">
        <f t="shared" ca="1" si="79"/>
        <v>0</v>
      </c>
      <c r="P85" s="404">
        <f t="shared" ca="1" si="79"/>
        <v>0</v>
      </c>
      <c r="Q85" s="405">
        <f t="shared" ca="1" si="79"/>
        <v>0</v>
      </c>
      <c r="R85" s="405">
        <f t="shared" ca="1" si="79"/>
        <v>0</v>
      </c>
      <c r="S85" s="405">
        <f t="shared" ca="1" si="79"/>
        <v>0</v>
      </c>
      <c r="T85" s="405">
        <f t="shared" ca="1" si="79"/>
        <v>0</v>
      </c>
      <c r="U85" s="409">
        <f t="shared" ca="1" si="79"/>
        <v>0</v>
      </c>
    </row>
    <row r="86" spans="1:22" ht="19.5" customHeight="1" thickBot="1">
      <c r="C86" s="608" t="s">
        <v>186</v>
      </c>
      <c r="D86" s="609"/>
      <c r="E86" s="609"/>
      <c r="F86" s="75" t="s">
        <v>64</v>
      </c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3"/>
    </row>
    <row r="87" spans="1:22" ht="19.5" customHeight="1" thickBot="1">
      <c r="A87" s="70">
        <f>IF(($C87=id.1220),52,IF(($C87=id.1270),53,IF(($C87=id.1200),54,IF(($C87=id.1340),55,IF(($C87=id.1240),56,IF(($C87=id.2030),66,IF(($C87=id.1360),68,IF(($C87=id.1370),69,IF(($C87=id.2020),70,IF(($C87=id.2000),71,IF(($C87=id.z1),73,IF(($C87=id.z2),74,"72"))))))))))))</f>
        <v>52</v>
      </c>
      <c r="B87" s="70"/>
      <c r="C87" s="599"/>
      <c r="D87" s="600"/>
      <c r="E87" s="600"/>
      <c r="F87" s="143"/>
      <c r="G87" s="410" t="str">
        <f ca="1">IF((INDIRECT("'PRODUCT DATA'!$L"&amp;$A87&amp;""))=0,"0",((INDIRECT("'PRODUCT DATA'!$L"&amp;$A87&amp;""))*($F87)))</f>
        <v>0</v>
      </c>
      <c r="H87" s="410" t="str">
        <f ca="1">IF((INDIRECT("'PRODUCT DATA'!$M"&amp;$A87&amp;""))=0,"0",((INDIRECT("'PRODUCT DATA'!$M"&amp;$A87&amp;""))*($F87)))</f>
        <v>0</v>
      </c>
      <c r="I87" s="410" t="str">
        <f ca="1">IF((INDIRECT("'PRODUCT DATA'!$O"&amp;$A87&amp;""))=0,"0",((INDIRECT("'PRODUCT DATA'!$O"&amp;$A87&amp;""))*($F87)))</f>
        <v>0</v>
      </c>
      <c r="J87" s="410" t="str">
        <f ca="1">IF((INDIRECT("'PRODUCT DATA'!$Q"&amp;$A87&amp;""))=0,"0",((INDIRECT("'PRODUCT DATA'!$Q"&amp;$A87&amp;""))*($F87)))</f>
        <v>0</v>
      </c>
      <c r="K87" s="410" t="str">
        <f ca="1">IF((INDIRECT("'PRODUCT DATA'!$R"&amp;$A87&amp;""))=0,"0",((INDIRECT("'PRODUCT DATA'!$R"&amp;$A87&amp;""))*($F87)))</f>
        <v>0</v>
      </c>
      <c r="L87" s="410" t="str">
        <f ca="1">IF((INDIRECT("'PRODUCT DATA'!$S"&amp;$A87&amp;""))=0,"0",((INDIRECT("'PRODUCT DATA'!$S"&amp;$A87&amp;""))*($F87)))</f>
        <v>0</v>
      </c>
      <c r="M87" s="410" t="str">
        <f ca="1">IF((INDIRECT("'PRODUCT DATA'!$T"&amp;$A87&amp;""))=0,"0",((INDIRECT("'PRODUCT DATA'!$T"&amp;$A87&amp;""))*($F87)))</f>
        <v>0</v>
      </c>
      <c r="N87" s="410" t="str">
        <f ca="1">IF((INDIRECT("'PRODUCT DATA'!$U"&amp;$A87&amp;""))=0,"0",((INDIRECT("'PRODUCT DATA'!$U"&amp;$A87&amp;""))*($F87)))</f>
        <v>0</v>
      </c>
      <c r="O87" s="410" t="str">
        <f ca="1">IF((INDIRECT("'PRODUCT DATA'!$V"&amp;$A87&amp;""))=0,"0",((INDIRECT("'PRODUCT DATA'!$V"&amp;$A87&amp;""))*($F87)))</f>
        <v>0</v>
      </c>
      <c r="P87" s="410" t="str">
        <f ca="1">IF((INDIRECT("'PRODUCT DATA'!$W"&amp;$A87&amp;""))=0,"0",((INDIRECT("'PRODUCT DATA'!$W"&amp;$A87&amp;""))*($F87)))</f>
        <v>0</v>
      </c>
      <c r="Q87" s="411" t="str">
        <f ca="1">IF((INDIRECT("'PRODUCT DATA'!$X"&amp;$A87&amp;""))=0,"0",((INDIRECT("'PRODUCT DATA'!$X"&amp;$A87&amp;""))*($F87)))</f>
        <v>0</v>
      </c>
      <c r="R87" s="411" t="str">
        <f ca="1">IF((INDIRECT("'PRODUCT DATA'!$Y"&amp;$A87&amp;""))=0,"0",((INDIRECT("'PRODUCT DATA'!$Y"&amp;$A87&amp;""))*($F87)))</f>
        <v>0</v>
      </c>
      <c r="S87" s="411" t="str">
        <f ca="1">IF((INDIRECT("'PRODUCT DATA'!$Z"&amp;$A87&amp;""))=0,"0",((INDIRECT("'PRODUCT DATA'!$Z"&amp;$A87&amp;""))*($F87)))</f>
        <v>0</v>
      </c>
      <c r="T87" s="411" t="str">
        <f ca="1">IF((INDIRECT("'PRODUCT DATA'!$AA"&amp;$A87&amp;""))=0,"0",((INDIRECT("'PRODUCT DATA'!$AA"&amp;$A87&amp;""))*($F87)))</f>
        <v>0</v>
      </c>
      <c r="U87" s="412" t="str">
        <f ca="1">IF((INDIRECT("'PRODUCT DATA'!$AB"&amp;$A87&amp;""))=0,"0",((INDIRECT("'PRODUCT DATA'!$AB"&amp;$A87&amp;""))*($F87)))</f>
        <v>0</v>
      </c>
    </row>
    <row r="88" spans="1:22" ht="19.5" customHeight="1">
      <c r="C88" s="606" t="s">
        <v>141</v>
      </c>
      <c r="D88" s="607"/>
      <c r="E88" s="607"/>
      <c r="F88" s="607"/>
      <c r="G88" s="404">
        <f ca="1">G87*$R$14</f>
        <v>0</v>
      </c>
      <c r="H88" s="404">
        <f t="shared" ref="H88:U88" ca="1" si="80">H87*$R$14</f>
        <v>0</v>
      </c>
      <c r="I88" s="404">
        <f t="shared" ca="1" si="80"/>
        <v>0</v>
      </c>
      <c r="J88" s="404">
        <f t="shared" ca="1" si="80"/>
        <v>0</v>
      </c>
      <c r="K88" s="404">
        <f t="shared" ca="1" si="80"/>
        <v>0</v>
      </c>
      <c r="L88" s="404">
        <f t="shared" ca="1" si="80"/>
        <v>0</v>
      </c>
      <c r="M88" s="404">
        <f t="shared" ca="1" si="80"/>
        <v>0</v>
      </c>
      <c r="N88" s="404">
        <f t="shared" ca="1" si="80"/>
        <v>0</v>
      </c>
      <c r="O88" s="404">
        <f t="shared" ca="1" si="80"/>
        <v>0</v>
      </c>
      <c r="P88" s="404">
        <f t="shared" ca="1" si="80"/>
        <v>0</v>
      </c>
      <c r="Q88" s="405">
        <f t="shared" ca="1" si="80"/>
        <v>0</v>
      </c>
      <c r="R88" s="405">
        <f t="shared" ca="1" si="80"/>
        <v>0</v>
      </c>
      <c r="S88" s="405">
        <f t="shared" ca="1" si="80"/>
        <v>0</v>
      </c>
      <c r="T88" s="405">
        <f t="shared" ca="1" si="80"/>
        <v>0</v>
      </c>
      <c r="U88" s="409">
        <f t="shared" ca="1" si="80"/>
        <v>0</v>
      </c>
    </row>
    <row r="89" spans="1:22" ht="19.5" customHeight="1">
      <c r="C89" s="606" t="s">
        <v>106</v>
      </c>
      <c r="D89" s="607"/>
      <c r="E89" s="607"/>
      <c r="F89" s="607"/>
      <c r="G89" s="404">
        <f t="shared" ref="G89:U89" ca="1" si="81">IF((G87="*"),"*",(G87*43.56))</f>
        <v>0</v>
      </c>
      <c r="H89" s="404">
        <f t="shared" ca="1" si="81"/>
        <v>0</v>
      </c>
      <c r="I89" s="404">
        <f t="shared" ca="1" si="81"/>
        <v>0</v>
      </c>
      <c r="J89" s="404">
        <f t="shared" ca="1" si="81"/>
        <v>0</v>
      </c>
      <c r="K89" s="404">
        <f t="shared" ca="1" si="81"/>
        <v>0</v>
      </c>
      <c r="L89" s="404">
        <f t="shared" ca="1" si="81"/>
        <v>0</v>
      </c>
      <c r="M89" s="404">
        <f t="shared" ca="1" si="81"/>
        <v>0</v>
      </c>
      <c r="N89" s="404">
        <f t="shared" ca="1" si="81"/>
        <v>0</v>
      </c>
      <c r="O89" s="404">
        <f t="shared" ca="1" si="81"/>
        <v>0</v>
      </c>
      <c r="P89" s="404">
        <f t="shared" ca="1" si="81"/>
        <v>0</v>
      </c>
      <c r="Q89" s="405">
        <f t="shared" ca="1" si="81"/>
        <v>0</v>
      </c>
      <c r="R89" s="405">
        <f t="shared" ca="1" si="81"/>
        <v>0</v>
      </c>
      <c r="S89" s="405">
        <f t="shared" ca="1" si="81"/>
        <v>0</v>
      </c>
      <c r="T89" s="405">
        <f t="shared" ca="1" si="81"/>
        <v>0</v>
      </c>
      <c r="U89" s="409">
        <f t="shared" ca="1" si="81"/>
        <v>0</v>
      </c>
    </row>
    <row r="90" spans="1:22" ht="19.5" customHeight="1" thickBot="1">
      <c r="C90" s="608" t="s">
        <v>187</v>
      </c>
      <c r="D90" s="609"/>
      <c r="E90" s="609"/>
      <c r="F90" s="75" t="s">
        <v>64</v>
      </c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3"/>
    </row>
    <row r="91" spans="1:22" ht="19.5" customHeight="1" thickBot="1">
      <c r="A91" s="70">
        <f>IF(($C91=id.1220),52,IF(($C91=id.1270),53,IF(($C91=id.1200),54,IF(($C91=id.1340),55,IF(($C91=id.1240),56,IF(($C91=id.2030),66,IF(($C91=id.1360),68,IF(($C91=id.1370),69,IF(($C91=id.2020),70,IF(($C91=id.2000),71,IF(($C91=id.z1),73,IF(($C91=id.z2),74,"72"))))))))))))</f>
        <v>52</v>
      </c>
      <c r="B91" s="70"/>
      <c r="C91" s="599"/>
      <c r="D91" s="600"/>
      <c r="E91" s="600"/>
      <c r="F91" s="143"/>
      <c r="G91" s="410" t="str">
        <f ca="1">IF((INDIRECT("'PRODUCT DATA'!$L"&amp;$A91&amp;""))=0,"0",((INDIRECT("'PRODUCT DATA'!$L"&amp;$A91&amp;""))*($F91)))</f>
        <v>0</v>
      </c>
      <c r="H91" s="410" t="str">
        <f ca="1">IF((INDIRECT("'PRODUCT DATA'!$M"&amp;$A91&amp;""))=0,"0",((INDIRECT("'PRODUCT DATA'!$M"&amp;$A91&amp;""))*($F91)))</f>
        <v>0</v>
      </c>
      <c r="I91" s="410" t="str">
        <f ca="1">IF((INDIRECT("'PRODUCT DATA'!$O"&amp;$A91&amp;""))=0,"0",((INDIRECT("'PRODUCT DATA'!$O"&amp;$A91&amp;""))*($F91)))</f>
        <v>0</v>
      </c>
      <c r="J91" s="410" t="str">
        <f ca="1">IF((INDIRECT("'PRODUCT DATA'!$Q"&amp;$A91&amp;""))=0,"0",((INDIRECT("'PRODUCT DATA'!$Q"&amp;$A91&amp;""))*($F91)))</f>
        <v>0</v>
      </c>
      <c r="K91" s="410" t="str">
        <f ca="1">IF((INDIRECT("'PRODUCT DATA'!$R"&amp;$A91&amp;""))=0,"0",((INDIRECT("'PRODUCT DATA'!$R"&amp;$A91&amp;""))*($F91)))</f>
        <v>0</v>
      </c>
      <c r="L91" s="410" t="str">
        <f ca="1">IF((INDIRECT("'PRODUCT DATA'!$S"&amp;$A91&amp;""))=0,"0",((INDIRECT("'PRODUCT DATA'!$S"&amp;$A91&amp;""))*($F91)))</f>
        <v>0</v>
      </c>
      <c r="M91" s="410" t="str">
        <f ca="1">IF((INDIRECT("'PRODUCT DATA'!$T"&amp;$A91&amp;""))=0,"0",((INDIRECT("'PRODUCT DATA'!$T"&amp;$A91&amp;""))*($F91)))</f>
        <v>0</v>
      </c>
      <c r="N91" s="410" t="str">
        <f ca="1">IF((INDIRECT("'PRODUCT DATA'!$U"&amp;$A91&amp;""))=0,"0",((INDIRECT("'PRODUCT DATA'!$U"&amp;$A91&amp;""))*($F91)))</f>
        <v>0</v>
      </c>
      <c r="O91" s="410" t="str">
        <f ca="1">IF((INDIRECT("'PRODUCT DATA'!$V"&amp;$A91&amp;""))=0,"0",((INDIRECT("'PRODUCT DATA'!$V"&amp;$A91&amp;""))*($F91)))</f>
        <v>0</v>
      </c>
      <c r="P91" s="410" t="str">
        <f ca="1">IF((INDIRECT("'PRODUCT DATA'!$W"&amp;$A91&amp;""))=0,"0",((INDIRECT("'PRODUCT DATA'!$W"&amp;$A91&amp;""))*($F91)))</f>
        <v>0</v>
      </c>
      <c r="Q91" s="411" t="str">
        <f ca="1">IF((INDIRECT("'PRODUCT DATA'!$X"&amp;$A91&amp;""))=0,"0",((INDIRECT("'PRODUCT DATA'!$X"&amp;$A91&amp;""))*($F91)))</f>
        <v>0</v>
      </c>
      <c r="R91" s="411" t="str">
        <f ca="1">IF((INDIRECT("'PRODUCT DATA'!$Y"&amp;$A91&amp;""))=0,"0",((INDIRECT("'PRODUCT DATA'!$Y"&amp;$A91&amp;""))*($F91)))</f>
        <v>0</v>
      </c>
      <c r="S91" s="411" t="str">
        <f ca="1">IF((INDIRECT("'PRODUCT DATA'!$Z"&amp;$A91&amp;""))=0,"0",((INDIRECT("'PRODUCT DATA'!$Z"&amp;$A91&amp;""))*($F91)))</f>
        <v>0</v>
      </c>
      <c r="T91" s="411" t="str">
        <f ca="1">IF((INDIRECT("'PRODUCT DATA'!$AA"&amp;$A91&amp;""))=0,"0",((INDIRECT("'PRODUCT DATA'!$AA"&amp;$A91&amp;""))*($F91)))</f>
        <v>0</v>
      </c>
      <c r="U91" s="412" t="str">
        <f ca="1">IF((INDIRECT("'PRODUCT DATA'!$AB"&amp;$A91&amp;""))=0,"0",((INDIRECT("'PRODUCT DATA'!$AB"&amp;$A91&amp;""))*($F91)))</f>
        <v>0</v>
      </c>
    </row>
    <row r="92" spans="1:22" ht="19.5" customHeight="1">
      <c r="C92" s="606" t="s">
        <v>141</v>
      </c>
      <c r="D92" s="607"/>
      <c r="E92" s="607"/>
      <c r="F92" s="607"/>
      <c r="G92" s="404">
        <f ca="1">G91*$R$15</f>
        <v>0</v>
      </c>
      <c r="H92" s="404">
        <f t="shared" ref="H92:U92" ca="1" si="82">H91*$R$15</f>
        <v>0</v>
      </c>
      <c r="I92" s="404">
        <f t="shared" ca="1" si="82"/>
        <v>0</v>
      </c>
      <c r="J92" s="404">
        <f t="shared" ca="1" si="82"/>
        <v>0</v>
      </c>
      <c r="K92" s="404">
        <f t="shared" ca="1" si="82"/>
        <v>0</v>
      </c>
      <c r="L92" s="404">
        <f t="shared" ca="1" si="82"/>
        <v>0</v>
      </c>
      <c r="M92" s="404">
        <f t="shared" ca="1" si="82"/>
        <v>0</v>
      </c>
      <c r="N92" s="404">
        <f t="shared" ca="1" si="82"/>
        <v>0</v>
      </c>
      <c r="O92" s="404">
        <f t="shared" ca="1" si="82"/>
        <v>0</v>
      </c>
      <c r="P92" s="404">
        <f t="shared" ca="1" si="82"/>
        <v>0</v>
      </c>
      <c r="Q92" s="405">
        <f t="shared" ca="1" si="82"/>
        <v>0</v>
      </c>
      <c r="R92" s="405">
        <f t="shared" ca="1" si="82"/>
        <v>0</v>
      </c>
      <c r="S92" s="405">
        <f t="shared" ca="1" si="82"/>
        <v>0</v>
      </c>
      <c r="T92" s="405">
        <f t="shared" ca="1" si="82"/>
        <v>0</v>
      </c>
      <c r="U92" s="409">
        <f t="shared" ca="1" si="82"/>
        <v>0</v>
      </c>
    </row>
    <row r="93" spans="1:22" ht="19.5" customHeight="1" thickBot="1">
      <c r="C93" s="659" t="s">
        <v>106</v>
      </c>
      <c r="D93" s="660"/>
      <c r="E93" s="660"/>
      <c r="F93" s="660"/>
      <c r="G93" s="406">
        <f t="shared" ref="G93:U93" ca="1" si="83">IF((G91="*"),"*",(G91*43.56))</f>
        <v>0</v>
      </c>
      <c r="H93" s="406">
        <f t="shared" ca="1" si="83"/>
        <v>0</v>
      </c>
      <c r="I93" s="406">
        <f t="shared" ca="1" si="83"/>
        <v>0</v>
      </c>
      <c r="J93" s="406">
        <f t="shared" ca="1" si="83"/>
        <v>0</v>
      </c>
      <c r="K93" s="406">
        <f t="shared" ca="1" si="83"/>
        <v>0</v>
      </c>
      <c r="L93" s="406">
        <f t="shared" ca="1" si="83"/>
        <v>0</v>
      </c>
      <c r="M93" s="406">
        <f t="shared" ca="1" si="83"/>
        <v>0</v>
      </c>
      <c r="N93" s="406">
        <f t="shared" ca="1" si="83"/>
        <v>0</v>
      </c>
      <c r="O93" s="406">
        <f t="shared" ca="1" si="83"/>
        <v>0</v>
      </c>
      <c r="P93" s="406">
        <f t="shared" ca="1" si="83"/>
        <v>0</v>
      </c>
      <c r="Q93" s="407">
        <f t="shared" ca="1" si="83"/>
        <v>0</v>
      </c>
      <c r="R93" s="407">
        <f t="shared" ca="1" si="83"/>
        <v>0</v>
      </c>
      <c r="S93" s="407">
        <f t="shared" ca="1" si="83"/>
        <v>0</v>
      </c>
      <c r="T93" s="407">
        <f t="shared" ca="1" si="83"/>
        <v>0</v>
      </c>
      <c r="U93" s="408">
        <f t="shared" ca="1" si="83"/>
        <v>0</v>
      </c>
    </row>
    <row r="94" spans="1:22" ht="19.5" customHeight="1" thickTop="1">
      <c r="V94" s="17"/>
    </row>
    <row r="95" spans="1:22" ht="19.5" customHeight="1">
      <c r="V95" s="17" t="str">
        <f>id.255</f>
        <v xml:space="preserve">Manni-Plex® Total Turf  </v>
      </c>
    </row>
    <row r="96" spans="1:22" ht="19.5" customHeight="1">
      <c r="V96" s="17" t="str">
        <f>id.215</f>
        <v xml:space="preserve">Manni-Plex® Ultra Turf </v>
      </c>
    </row>
    <row r="97" spans="22:22" ht="19.5" customHeight="1">
      <c r="V97" s="17" t="str">
        <f>id.200</f>
        <v>Manni-Plex® Eagle</v>
      </c>
    </row>
    <row r="98" spans="22:22" ht="19.5" customHeight="1">
      <c r="V98" s="17" t="str">
        <f>id.285</f>
        <v>Manni-Plex® Root Builder</v>
      </c>
    </row>
    <row r="99" spans="22:22" ht="19.5" customHeight="1">
      <c r="V99" s="17" t="str">
        <f>id.315</f>
        <v>Manni-Plex® Grow</v>
      </c>
    </row>
    <row r="100" spans="22:22" ht="19.5" customHeight="1">
      <c r="V100" s="17" t="str">
        <f>id.106</f>
        <v>Manni-Plex® Foli-Cal</v>
      </c>
    </row>
    <row r="101" spans="22:22" ht="19.5" customHeight="1">
      <c r="V101" s="17" t="str">
        <f>id.310</f>
        <v>Manni-Plex® K</v>
      </c>
    </row>
    <row r="102" spans="22:22" ht="19.5" customHeight="1">
      <c r="V102" s="17" t="str">
        <f>id.141</f>
        <v>Manni-Plex® Traffic</v>
      </c>
    </row>
    <row r="103" spans="22:22" ht="19.5" customHeight="1">
      <c r="V103" s="17" t="str">
        <f>id.245</f>
        <v>Manni-Plex® Fe</v>
      </c>
    </row>
    <row r="104" spans="22:22" ht="19.5" customHeight="1">
      <c r="V104" s="17" t="str">
        <f>id.225</f>
        <v>Manni-Plex® Mg</v>
      </c>
    </row>
    <row r="105" spans="22:22" ht="19.5" customHeight="1">
      <c r="V105" s="17" t="str">
        <f>id.192</f>
        <v>Manni-Plex® Mn</v>
      </c>
    </row>
    <row r="106" spans="22:22" ht="19.5" customHeight="1">
      <c r="V106" s="17" t="str">
        <f>id.196</f>
        <v>Manni-Plex® Cal Zn</v>
      </c>
    </row>
    <row r="107" spans="22:22" ht="19.5" customHeight="1">
      <c r="V107" s="17" t="str">
        <f>id.330</f>
        <v>Manni-Plex® Cal Mag</v>
      </c>
    </row>
    <row r="108" spans="22:22" ht="19.5" customHeight="1">
      <c r="V108" s="17" t="str">
        <f>id.675</f>
        <v>Manni-Plex® Ni</v>
      </c>
    </row>
    <row r="109" spans="22:22" ht="19.5" customHeight="1">
      <c r="V109" s="17" t="str">
        <f>id.855</f>
        <v>Manni-Plex® for Ornamentals</v>
      </c>
    </row>
    <row r="110" spans="22:22" ht="19.5" customHeight="1">
      <c r="V110" s="17" t="str">
        <f>id.178</f>
        <v>Brandt In-Cyte</v>
      </c>
    </row>
    <row r="111" spans="22:22" ht="19.5" customHeight="1">
      <c r="V111" s="17" t="str">
        <f>id.242</f>
        <v>Brandt Seaweed Max</v>
      </c>
    </row>
    <row r="112" spans="22:22" ht="19.5" customHeight="1">
      <c r="V112" s="17" t="str">
        <f>id.180</f>
        <v>Brandt Converge 18-3-6</v>
      </c>
    </row>
    <row r="113" spans="22:22" ht="19.5" customHeight="1">
      <c r="V113" s="17" t="str">
        <f>id.185</f>
        <v>Brandt Supreme Green</v>
      </c>
    </row>
    <row r="114" spans="22:22" ht="19.5" customHeight="1">
      <c r="V114" s="17" t="str">
        <f>id.195</f>
        <v>Brandt FlashDance</v>
      </c>
    </row>
    <row r="115" spans="22:22" ht="19.5" customHeight="1">
      <c r="V115" s="17" t="str">
        <f>id.240</f>
        <v>Brandt Converge CRN</v>
      </c>
    </row>
    <row r="116" spans="22:22" ht="19.5" customHeight="1">
      <c r="V116" s="17">
        <f>id.300</f>
        <v>0</v>
      </c>
    </row>
    <row r="117" spans="22:22" ht="19.5" customHeight="1">
      <c r="V117" s="17">
        <f>id.177</f>
        <v>0</v>
      </c>
    </row>
    <row r="118" spans="22:22" ht="19.5" customHeight="1">
      <c r="V118" s="17">
        <f>id.860</f>
        <v>0</v>
      </c>
    </row>
    <row r="119" spans="22:22" ht="19.5" customHeight="1">
      <c r="V119" s="17">
        <f>id.840</f>
        <v>0</v>
      </c>
    </row>
    <row r="120" spans="22:22" ht="19.5" customHeight="1">
      <c r="V120" s="17">
        <f>id.800</f>
        <v>0</v>
      </c>
    </row>
    <row r="121" spans="22:22" ht="19.5" customHeight="1">
      <c r="V121" s="17">
        <f>id.650</f>
        <v>0</v>
      </c>
    </row>
    <row r="122" spans="22:22" ht="19.5" customHeight="1">
      <c r="V122" s="17">
        <f>id.600</f>
        <v>0</v>
      </c>
    </row>
    <row r="123" spans="22:22" ht="19.5" customHeight="1">
      <c r="V123" s="17">
        <f>id.610</f>
        <v>0</v>
      </c>
    </row>
    <row r="124" spans="22:22" ht="19.5" customHeight="1">
      <c r="V124" s="17">
        <f>id.630</f>
        <v>0</v>
      </c>
    </row>
    <row r="125" spans="22:22" ht="19.5" customHeight="1">
      <c r="V125" s="17">
        <f>id.620</f>
        <v>0</v>
      </c>
    </row>
    <row r="126" spans="22:22" ht="19.5" customHeight="1">
      <c r="V126" s="138" t="str">
        <f>id.x1</f>
        <v>Custom Liquid 1</v>
      </c>
    </row>
    <row r="127" spans="22:22" ht="19.5" customHeight="1">
      <c r="V127" s="138" t="str">
        <f>id.x2</f>
        <v>Custom Liquid 2</v>
      </c>
    </row>
    <row r="128" spans="22:22" ht="19.5" customHeight="1"/>
    <row r="129" spans="22:22" ht="19.5" customHeight="1">
      <c r="V129" s="138" t="str">
        <f>id.x3</f>
        <v>Custom SOLUBLE 1</v>
      </c>
    </row>
    <row r="130" spans="22:22" ht="19.5" customHeight="1"/>
    <row r="131" spans="22:22" ht="19.5" customHeight="1">
      <c r="V131" s="138">
        <f>id.1220</f>
        <v>0</v>
      </c>
    </row>
    <row r="132" spans="22:22" ht="19.5" customHeight="1">
      <c r="V132" s="138">
        <f>id.1270</f>
        <v>0</v>
      </c>
    </row>
    <row r="133" spans="22:22" ht="19.5" customHeight="1">
      <c r="V133" s="138">
        <f>id.1200</f>
        <v>0</v>
      </c>
    </row>
    <row r="134" spans="22:22" ht="19.5" customHeight="1">
      <c r="V134" s="138">
        <f>id.1340</f>
        <v>0</v>
      </c>
    </row>
    <row r="135" spans="22:22" ht="19.5" customHeight="1">
      <c r="V135" s="138">
        <f>id.1240</f>
        <v>0</v>
      </c>
    </row>
    <row r="136" spans="22:22" ht="19.5" customHeight="1">
      <c r="V136" s="138">
        <f>id.2030</f>
        <v>0</v>
      </c>
    </row>
    <row r="137" spans="22:22" ht="19.5" customHeight="1">
      <c r="V137" s="138">
        <f>id.1360</f>
        <v>0</v>
      </c>
    </row>
    <row r="138" spans="22:22" ht="19.5" customHeight="1">
      <c r="V138" s="138">
        <f>id.1370</f>
        <v>0</v>
      </c>
    </row>
    <row r="139" spans="22:22" ht="19.5" customHeight="1">
      <c r="V139" s="138">
        <f>id.2020</f>
        <v>0</v>
      </c>
    </row>
    <row r="140" spans="22:22" ht="19.5" customHeight="1">
      <c r="V140" s="138">
        <f>id.2000</f>
        <v>0</v>
      </c>
    </row>
    <row r="141" spans="22:22" ht="19.5" customHeight="1">
      <c r="V141" s="138" t="str">
        <f>id.z1</f>
        <v>Custom Granular 1</v>
      </c>
    </row>
    <row r="142" spans="22:22" ht="19.5" customHeight="1">
      <c r="V142" s="138" t="str">
        <f>id.z2</f>
        <v>Custom Granular 2</v>
      </c>
    </row>
    <row r="143" spans="22:22" ht="19.5" customHeight="1"/>
    <row r="144" spans="22:22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 algorithmName="SHA-512" hashValue="Q8KO23DEhTfka912PPClrhiFGYDao8qhz4EjYcWrS7VMFcSh9EkbSiSOMu3mwTDO0kFGFATsOoByIJTQ8kWH3Q==" saltValue="90nSdjYpLCVt7BemEZJ77Q==" spinCount="100000" sheet="1" objects="1" scenarios="1" selectLockedCells="1"/>
  <customSheetViews>
    <customSheetView guid="{F1651EBB-9323-409D-980E-CBA49ADEAE68}" showPageBreaks="1" fitToPage="1" printArea="1">
      <selection activeCell="F38" sqref="F38"/>
      <pageMargins left="0.7" right="0.7" top="0.75" bottom="0.75" header="0.3" footer="0.3"/>
      <pageSetup scale="56" orientation="portrait" r:id="rId1"/>
    </customSheetView>
  </customSheetViews>
  <mergeCells count="82">
    <mergeCell ref="C93:F93"/>
    <mergeCell ref="C35:F35"/>
    <mergeCell ref="C62:F62"/>
    <mergeCell ref="C74:F74"/>
    <mergeCell ref="C80:F80"/>
    <mergeCell ref="C85:F85"/>
    <mergeCell ref="C55:E55"/>
    <mergeCell ref="C56:E56"/>
    <mergeCell ref="C57:E57"/>
    <mergeCell ref="C58:E58"/>
    <mergeCell ref="C59:E59"/>
    <mergeCell ref="C60:F60"/>
    <mergeCell ref="C61:F61"/>
    <mergeCell ref="C63:F63"/>
    <mergeCell ref="C64:E65"/>
    <mergeCell ref="C81:F81"/>
    <mergeCell ref="J3:L4"/>
    <mergeCell ref="N3:P4"/>
    <mergeCell ref="C3:H4"/>
    <mergeCell ref="C22:E23"/>
    <mergeCell ref="F9:G9"/>
    <mergeCell ref="J12:L12"/>
    <mergeCell ref="J13:L13"/>
    <mergeCell ref="D9:E10"/>
    <mergeCell ref="C17:T17"/>
    <mergeCell ref="C6:H7"/>
    <mergeCell ref="I15:L15"/>
    <mergeCell ref="C11:C12"/>
    <mergeCell ref="C24:E24"/>
    <mergeCell ref="G22:U22"/>
    <mergeCell ref="J6:S10"/>
    <mergeCell ref="J14:L14"/>
    <mergeCell ref="C54:E54"/>
    <mergeCell ref="C27:E27"/>
    <mergeCell ref="C34:F34"/>
    <mergeCell ref="C36:F36"/>
    <mergeCell ref="C25:E25"/>
    <mergeCell ref="C26:E26"/>
    <mergeCell ref="C32:E32"/>
    <mergeCell ref="C49:F49"/>
    <mergeCell ref="C50:F50"/>
    <mergeCell ref="C37:F37"/>
    <mergeCell ref="C43:E43"/>
    <mergeCell ref="C44:E44"/>
    <mergeCell ref="G52:U52"/>
    <mergeCell ref="G39:U39"/>
    <mergeCell ref="C41:E41"/>
    <mergeCell ref="C42:E42"/>
    <mergeCell ref="C52:E53"/>
    <mergeCell ref="C48:F48"/>
    <mergeCell ref="C39:E40"/>
    <mergeCell ref="G64:U64"/>
    <mergeCell ref="C79:E79"/>
    <mergeCell ref="C70:E70"/>
    <mergeCell ref="C71:E71"/>
    <mergeCell ref="C78:E78"/>
    <mergeCell ref="G77:U77"/>
    <mergeCell ref="C77:E77"/>
    <mergeCell ref="C73:F73"/>
    <mergeCell ref="C66:E66"/>
    <mergeCell ref="C67:E67"/>
    <mergeCell ref="C68:E68"/>
    <mergeCell ref="C69:E69"/>
    <mergeCell ref="C72:F72"/>
    <mergeCell ref="C92:F92"/>
    <mergeCell ref="C83:E83"/>
    <mergeCell ref="C84:F84"/>
    <mergeCell ref="C82:E82"/>
    <mergeCell ref="C86:E86"/>
    <mergeCell ref="C90:E90"/>
    <mergeCell ref="C87:E87"/>
    <mergeCell ref="C88:F88"/>
    <mergeCell ref="C89:F89"/>
    <mergeCell ref="C28:E28"/>
    <mergeCell ref="C31:E31"/>
    <mergeCell ref="C29:E29"/>
    <mergeCell ref="C30:E30"/>
    <mergeCell ref="C91:E91"/>
    <mergeCell ref="C45:E45"/>
    <mergeCell ref="C46:E46"/>
    <mergeCell ref="C47:F47"/>
    <mergeCell ref="C33:E33"/>
  </mergeCells>
  <conditionalFormatting sqref="G83:U83 G79:U79 G41:U46 G54:U59 G66:U71 G87:U87 G91:U91 G24:U33">
    <cfRule type="cellIs" dxfId="182" priority="25" stopIfTrue="1" operator="notEqual">
      <formula>"*"</formula>
    </cfRule>
  </conditionalFormatting>
  <conditionalFormatting sqref="G34:U36 G47:U49 G60:U62 G72:U74">
    <cfRule type="cellIs" dxfId="181" priority="21" stopIfTrue="1" operator="lessThanOrEqual">
      <formula>0</formula>
    </cfRule>
  </conditionalFormatting>
  <conditionalFormatting sqref="J34">
    <cfRule type="expression" dxfId="180" priority="14" stopIfTrue="1">
      <formula>"&lt;=0"</formula>
    </cfRule>
    <cfRule type="cellIs" dxfId="179" priority="15" stopIfTrue="1" operator="lessThanOrEqual">
      <formula>0</formula>
    </cfRule>
  </conditionalFormatting>
  <conditionalFormatting sqref="G79:U93">
    <cfRule type="cellIs" dxfId="178" priority="6" stopIfTrue="1" operator="greaterThan">
      <formula>0</formula>
    </cfRule>
  </conditionalFormatting>
  <conditionalFormatting sqref="G79:U79">
    <cfRule type="cellIs" dxfId="177" priority="2" stopIfTrue="1" operator="greaterThan">
      <formula>0</formula>
    </cfRule>
  </conditionalFormatting>
  <conditionalFormatting sqref="C19:Q19">
    <cfRule type="cellIs" dxfId="176" priority="1" operator="greaterThan">
      <formula>0</formula>
    </cfRule>
  </conditionalFormatting>
  <dataValidations xWindow="639" yWindow="626" count="5">
    <dataValidation type="whole" showInputMessage="1" showErrorMessage="1" sqref="M12:M15" xr:uid="{00000000-0002-0000-0200-000000000000}">
      <formula1>1</formula1>
      <formula2>1000</formula2>
    </dataValidation>
    <dataValidation type="list" allowBlank="1" showInputMessage="1" showErrorMessage="1" prompt="SELECT A PRODUCT" sqref="C79:E79" xr:uid="{00000000-0002-0000-0200-000001000000}">
      <formula1>$V$128:$V$129</formula1>
    </dataValidation>
    <dataValidation type="list" allowBlank="1" showInputMessage="1" showErrorMessage="1" prompt="SELECT A PRODUCT" sqref="C24:E33 C41:E46 C54:E59 C66:E70" xr:uid="{00000000-0002-0000-0200-000002000000}">
      <formula1>$V$94:$V$127</formula1>
    </dataValidation>
    <dataValidation type="list" allowBlank="1" showInputMessage="1" showErrorMessage="1" sqref="C71:E71" xr:uid="{00000000-0002-0000-0200-000003000000}">
      <formula1>$V$94:$V$127</formula1>
    </dataValidation>
    <dataValidation type="list" allowBlank="1" showInputMessage="1" showErrorMessage="1" prompt="SELECT A PRODUCT" sqref="C83:E83 C87:E87 C91:E91" xr:uid="{00000000-0002-0000-0200-000004000000}">
      <formula1>$V$130:$V$142</formula1>
    </dataValidation>
  </dataValidations>
  <printOptions horizontalCentered="1"/>
  <pageMargins left="0.3" right="0.3" top="1" bottom="0.5" header="0.25" footer="0.25"/>
  <pageSetup scale="54" fitToHeight="2" orientation="landscape" r:id="rId2"/>
  <headerFooter>
    <oddHeader>&amp;L&amp;G&amp;C&amp;"Arial,Bold"&amp;24&amp;A&amp;R&amp;"Arial,Bold"&amp;9page &amp;P of &amp;N</oddHeader>
  </headerFooter>
  <rowBreaks count="1" manualBreakCount="1">
    <brk id="49" min="2" max="20" man="1"/>
  </rowBreak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97"/>
  <sheetViews>
    <sheetView topLeftCell="B1" zoomScale="83" workbookViewId="0">
      <selection activeCell="R17" sqref="R17"/>
    </sheetView>
  </sheetViews>
  <sheetFormatPr defaultColWidth="9.140625" defaultRowHeight="19.5" customHeight="1"/>
  <cols>
    <col min="1" max="1" width="3.7109375" style="166" hidden="1" customWidth="1"/>
    <col min="2" max="2" width="3.7109375" style="166" customWidth="1"/>
    <col min="3" max="3" width="9.7109375" style="166" customWidth="1"/>
    <col min="4" max="28" width="10.7109375" style="166" customWidth="1"/>
    <col min="29" max="16384" width="9.140625" style="166"/>
  </cols>
  <sheetData>
    <row r="1" spans="3:32" ht="15" customHeight="1" thickBot="1">
      <c r="C1" s="284" t="str">
        <f>VERSION</f>
        <v>version #BRANDT-X02-</v>
      </c>
      <c r="D1" s="173"/>
      <c r="E1" s="356" t="s">
        <v>237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3:32" ht="19.5" customHeight="1" thickTop="1" thickBot="1">
      <c r="C2" s="742" t="s">
        <v>77</v>
      </c>
      <c r="D2" s="743"/>
      <c r="E2" s="745" t="str">
        <f>IF(customer="","",customer)</f>
        <v/>
      </c>
      <c r="F2" s="745"/>
      <c r="G2" s="745"/>
      <c r="H2" s="745"/>
      <c r="I2" s="167"/>
      <c r="J2" s="167"/>
      <c r="K2" s="167"/>
      <c r="L2" s="168" t="s">
        <v>72</v>
      </c>
      <c r="M2" s="169">
        <f>((sq.ft.a)+(sq.ft.b))</f>
        <v>43560</v>
      </c>
      <c r="N2" s="170" t="s">
        <v>73</v>
      </c>
      <c r="O2" s="171"/>
      <c r="P2" s="172"/>
      <c r="Q2" s="173"/>
      <c r="R2" s="702" t="s">
        <v>93</v>
      </c>
      <c r="S2" s="702"/>
      <c r="T2" s="702"/>
      <c r="U2" s="702"/>
    </row>
    <row r="3" spans="3:32" ht="19.5" customHeight="1" thickTop="1">
      <c r="C3" s="744" t="s">
        <v>68</v>
      </c>
      <c r="D3" s="607"/>
      <c r="E3" s="739" t="str">
        <f>IF(ProgTitle="","",ProgTitle)</f>
        <v/>
      </c>
      <c r="F3" s="739"/>
      <c r="G3" s="739"/>
      <c r="H3" s="739"/>
      <c r="I3" s="739"/>
      <c r="J3" s="174"/>
      <c r="K3" s="174"/>
      <c r="L3" s="174"/>
      <c r="M3" s="175">
        <f>((acre.a)+(acre.b))</f>
        <v>1</v>
      </c>
      <c r="N3" s="176" t="s">
        <v>74</v>
      </c>
      <c r="O3" s="177"/>
      <c r="P3" s="178"/>
      <c r="Q3" s="173"/>
      <c r="R3" s="173"/>
      <c r="S3" s="703">
        <f ca="1">S7+S10</f>
        <v>0</v>
      </c>
      <c r="T3" s="704"/>
      <c r="U3" s="173"/>
    </row>
    <row r="4" spans="3:32" ht="19.5" customHeight="1" thickBot="1">
      <c r="C4" s="744" t="s">
        <v>80</v>
      </c>
      <c r="D4" s="607"/>
      <c r="E4" s="180">
        <f>(end.date-start.date)</f>
        <v>0</v>
      </c>
      <c r="F4" s="176" t="s">
        <v>78</v>
      </c>
      <c r="G4" s="181"/>
      <c r="H4" s="181"/>
      <c r="I4" s="174"/>
      <c r="J4" s="182" t="s">
        <v>91</v>
      </c>
      <c r="K4" s="183">
        <f>mix1.count+mix2.count+mix3.count+mix4.count</f>
        <v>4</v>
      </c>
      <c r="L4" s="177"/>
      <c r="M4" s="182" t="s">
        <v>79</v>
      </c>
      <c r="N4" s="184" t="s">
        <v>81</v>
      </c>
      <c r="O4" s="185">
        <f>IF((K4=0),0,($E$4/K4))</f>
        <v>0</v>
      </c>
      <c r="P4" s="178" t="s">
        <v>78</v>
      </c>
      <c r="Q4" s="173"/>
      <c r="R4" s="193"/>
      <c r="S4" s="705"/>
      <c r="T4" s="706"/>
      <c r="U4" s="194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3:32" ht="19.5" customHeight="1" thickTop="1">
      <c r="C5" s="744"/>
      <c r="D5" s="607"/>
      <c r="E5" s="177"/>
      <c r="F5" s="177"/>
      <c r="G5" s="177"/>
      <c r="H5" s="177"/>
      <c r="I5" s="177"/>
      <c r="J5" s="182" t="s">
        <v>92</v>
      </c>
      <c r="K5" s="183">
        <f>spreader1.count+spreader2.count+spreader3.count</f>
        <v>0</v>
      </c>
      <c r="L5" s="177"/>
      <c r="M5" s="182" t="s">
        <v>82</v>
      </c>
      <c r="N5" s="184" t="s">
        <v>81</v>
      </c>
      <c r="O5" s="185">
        <f>IF((K5=0),0,($E$4/K5))</f>
        <v>0</v>
      </c>
      <c r="P5" s="178" t="s">
        <v>78</v>
      </c>
      <c r="Q5" s="173"/>
      <c r="R5" s="286" t="s">
        <v>200</v>
      </c>
      <c r="S5" s="707">
        <f ca="1">S8+S11</f>
        <v>0</v>
      </c>
      <c r="T5" s="707"/>
      <c r="U5" s="194"/>
      <c r="W5" s="736"/>
      <c r="X5" s="736"/>
      <c r="Y5" s="736"/>
      <c r="Z5" s="736"/>
      <c r="AA5" s="730"/>
      <c r="AB5" s="730"/>
      <c r="AC5" s="82"/>
      <c r="AD5" s="83"/>
      <c r="AE5" s="186"/>
      <c r="AF5" s="186"/>
    </row>
    <row r="6" spans="3:32" ht="19.5" customHeight="1" thickBot="1">
      <c r="C6" s="153"/>
      <c r="D6" s="152"/>
      <c r="E6" s="177"/>
      <c r="F6" s="182" t="s">
        <v>88</v>
      </c>
      <c r="G6" s="183" t="str">
        <f>IF(tank.area="","",($M$3/tank.area))</f>
        <v/>
      </c>
      <c r="H6" s="177"/>
      <c r="I6" s="173"/>
      <c r="J6" s="182" t="s">
        <v>87</v>
      </c>
      <c r="K6" s="183" t="str">
        <f>IF(G6="","",(K4*G6))</f>
        <v/>
      </c>
      <c r="L6" s="177"/>
      <c r="M6" s="182"/>
      <c r="N6" s="184"/>
      <c r="O6" s="187"/>
      <c r="P6" s="178"/>
      <c r="Q6" s="173"/>
      <c r="R6" s="708" t="s">
        <v>95</v>
      </c>
      <c r="S6" s="708"/>
      <c r="T6" s="708"/>
      <c r="U6" s="708"/>
      <c r="W6" s="731"/>
      <c r="X6" s="732"/>
      <c r="Y6" s="732"/>
      <c r="Z6" s="732"/>
      <c r="AA6" s="733"/>
      <c r="AB6" s="733"/>
      <c r="AC6" s="84"/>
      <c r="AD6" s="85"/>
      <c r="AE6" s="186"/>
      <c r="AF6" s="186"/>
    </row>
    <row r="7" spans="3:32" ht="19.5" customHeight="1" thickBot="1">
      <c r="C7" s="88"/>
      <c r="D7" s="89"/>
      <c r="E7" s="188"/>
      <c r="F7" s="189" t="s">
        <v>89</v>
      </c>
      <c r="G7" s="560" t="str">
        <f>IF(spreader.area="","",($M$3/spreader.area))</f>
        <v/>
      </c>
      <c r="H7" s="188"/>
      <c r="I7" s="188"/>
      <c r="J7" s="189" t="s">
        <v>90</v>
      </c>
      <c r="K7" s="560" t="str">
        <f>IF(G7="","",(K5*G7))</f>
        <v/>
      </c>
      <c r="L7" s="188"/>
      <c r="M7" s="189"/>
      <c r="N7" s="190"/>
      <c r="O7" s="191"/>
      <c r="P7" s="192"/>
      <c r="Q7" s="173"/>
      <c r="R7" s="199"/>
      <c r="S7" s="709">
        <f ca="1">(SUM(liquid.prog.subcost))</f>
        <v>0</v>
      </c>
      <c r="T7" s="710"/>
      <c r="U7" s="194"/>
      <c r="W7" s="17"/>
      <c r="X7" s="17"/>
      <c r="Y7" s="17"/>
      <c r="Z7" s="17"/>
      <c r="AA7" s="86"/>
      <c r="AB7" s="86"/>
      <c r="AC7" s="87"/>
      <c r="AD7" s="85"/>
      <c r="AE7" s="186"/>
      <c r="AF7" s="186"/>
    </row>
    <row r="8" spans="3:32" ht="19.5" customHeight="1" thickTop="1" thickBot="1">
      <c r="C8" s="558"/>
      <c r="D8" s="559"/>
      <c r="E8" s="558"/>
      <c r="F8" s="559"/>
      <c r="G8" s="558"/>
      <c r="H8" s="559"/>
      <c r="I8" s="558"/>
      <c r="J8" s="559"/>
      <c r="K8" s="558"/>
      <c r="L8" s="559"/>
      <c r="M8" s="173"/>
      <c r="N8" s="449" t="s">
        <v>243</v>
      </c>
      <c r="O8" s="195"/>
      <c r="P8" s="173"/>
      <c r="Q8" s="173"/>
      <c r="R8" s="286" t="s">
        <v>176</v>
      </c>
      <c r="S8" s="727">
        <f ca="1">(SUM(liquid.prog.adjustcost))</f>
        <v>0</v>
      </c>
      <c r="T8" s="727"/>
      <c r="U8" s="194"/>
      <c r="W8" s="734"/>
      <c r="X8" s="735"/>
      <c r="Y8" s="723"/>
      <c r="Z8" s="723"/>
      <c r="AA8" s="734"/>
      <c r="AB8" s="735"/>
      <c r="AC8" s="723"/>
      <c r="AD8" s="723"/>
      <c r="AE8" s="186"/>
      <c r="AF8" s="186"/>
    </row>
    <row r="9" spans="3:32" ht="19.5" customHeight="1" thickTop="1" thickBot="1">
      <c r="C9" s="196"/>
      <c r="D9" s="697" t="s">
        <v>110</v>
      </c>
      <c r="E9" s="697"/>
      <c r="F9" s="697"/>
      <c r="G9" s="697"/>
      <c r="H9" s="697"/>
      <c r="I9" s="697"/>
      <c r="J9" s="697"/>
      <c r="K9" s="697"/>
      <c r="L9" s="698"/>
      <c r="M9" s="173"/>
      <c r="N9" s="665" t="str">
        <f>IF(prog.descrip="","",prog.descrip)</f>
        <v/>
      </c>
      <c r="O9" s="666"/>
      <c r="P9" s="667"/>
      <c r="Q9" s="173"/>
      <c r="R9" s="708" t="s">
        <v>96</v>
      </c>
      <c r="S9" s="708"/>
      <c r="T9" s="708"/>
      <c r="U9" s="708"/>
      <c r="W9" s="17"/>
      <c r="X9" s="154"/>
      <c r="Y9" s="724"/>
      <c r="Z9" s="724"/>
      <c r="AA9" s="98"/>
      <c r="AB9" s="154"/>
      <c r="AC9" s="725"/>
      <c r="AD9" s="726"/>
      <c r="AE9" s="186"/>
      <c r="AF9" s="186"/>
    </row>
    <row r="10" spans="3:32" ht="19.5" customHeight="1" thickBot="1">
      <c r="C10" s="197"/>
      <c r="D10" s="198" t="s">
        <v>0</v>
      </c>
      <c r="E10" s="117" t="s">
        <v>287</v>
      </c>
      <c r="F10" s="198" t="s">
        <v>288</v>
      </c>
      <c r="G10" s="198" t="s">
        <v>8</v>
      </c>
      <c r="H10" s="198" t="s">
        <v>9</v>
      </c>
      <c r="I10" s="198" t="s">
        <v>10</v>
      </c>
      <c r="J10" s="198" t="s">
        <v>7</v>
      </c>
      <c r="K10" s="198" t="s">
        <v>3</v>
      </c>
      <c r="L10" s="118" t="s">
        <v>4</v>
      </c>
      <c r="M10" s="173"/>
      <c r="N10" s="668"/>
      <c r="O10" s="669"/>
      <c r="P10" s="670"/>
      <c r="Q10" s="173"/>
      <c r="R10" s="199"/>
      <c r="S10" s="709">
        <f ca="1">SUM(granular.prog.subcost)</f>
        <v>0</v>
      </c>
      <c r="T10" s="710"/>
      <c r="U10" s="194"/>
      <c r="W10" s="186"/>
      <c r="X10" s="186"/>
      <c r="Y10" s="724"/>
      <c r="Z10" s="724"/>
      <c r="AA10" s="186"/>
      <c r="AB10" s="186"/>
      <c r="AC10" s="186"/>
      <c r="AD10" s="186"/>
      <c r="AE10" s="186"/>
      <c r="AF10" s="186"/>
    </row>
    <row r="11" spans="3:32" ht="19.5" customHeight="1">
      <c r="C11" s="113" t="s">
        <v>103</v>
      </c>
      <c r="D11" s="527" t="str">
        <f ca="1">IF((SUM(mixt.n)=0),"*",SUM(mixt.n))</f>
        <v>*</v>
      </c>
      <c r="E11" s="527" t="str">
        <f ca="1">IF((SUM(mixt.p)=0),"*",SUM(mixt.p))</f>
        <v>*</v>
      </c>
      <c r="F11" s="527" t="str">
        <f ca="1">IF((SUM(mixt.k)=0),"*",SUM(mixt.k))</f>
        <v>*</v>
      </c>
      <c r="G11" s="527" t="str">
        <f ca="1">IF((SUM(mixt.fe)=0),"*",SUM(mixt.fe))</f>
        <v>*</v>
      </c>
      <c r="H11" s="527" t="str">
        <f ca="1">IF((SUM(mixt.mn)=0),"*",SUM(mixt.mn))</f>
        <v>*</v>
      </c>
      <c r="I11" s="527" t="str">
        <f ca="1">IF((SUM(mixt.zn)=0),"*",SUM(mixt.zn))</f>
        <v>*</v>
      </c>
      <c r="J11" s="527" t="str">
        <f ca="1">IF((SUM(mixt.cu)=0),"*",SUM(mixt.cu))</f>
        <v>*</v>
      </c>
      <c r="K11" s="528" t="str">
        <f ca="1">IF((SUM(mixt.ca)=0),"*",SUM(mixt.ca))</f>
        <v>*</v>
      </c>
      <c r="L11" s="529" t="str">
        <f ca="1">IF((SUM(mixt.mg)=0),"*",SUM(mixt.mg))</f>
        <v>*</v>
      </c>
      <c r="M11" s="173"/>
      <c r="N11" s="668"/>
      <c r="O11" s="669"/>
      <c r="P11" s="670"/>
      <c r="Q11" s="173"/>
      <c r="R11" s="286" t="s">
        <v>201</v>
      </c>
      <c r="S11" s="727">
        <f ca="1">SUM(granular.prog.adjustcost)</f>
        <v>0</v>
      </c>
      <c r="T11" s="727"/>
      <c r="U11" s="194"/>
      <c r="W11" s="186"/>
      <c r="X11" s="186"/>
      <c r="Y11" s="724"/>
      <c r="Z11" s="724"/>
      <c r="AA11" s="186"/>
      <c r="AB11" s="186"/>
      <c r="AC11" s="186"/>
      <c r="AD11" s="186"/>
      <c r="AE11" s="186"/>
      <c r="AF11" s="186"/>
    </row>
    <row r="12" spans="3:32" ht="19.5" customHeight="1">
      <c r="C12" s="113" t="s">
        <v>104</v>
      </c>
      <c r="D12" s="527" t="str">
        <f ca="1">IF((SUM(spreadt.n)=0),"*",SUM(spreadt.n))</f>
        <v>*</v>
      </c>
      <c r="E12" s="527" t="str">
        <f ca="1">IF((SUM(spreadt.p)=0),"*",SUM(spreadt.p))</f>
        <v>*</v>
      </c>
      <c r="F12" s="527" t="str">
        <f ca="1">IF((SUM(spreadt.k)=0),"*",SUM(spreadt.k))</f>
        <v>*</v>
      </c>
      <c r="G12" s="527" t="str">
        <f ca="1">IF((SUM(spreadt.fe)=0),"*",SUM(spreadt.fe))</f>
        <v>*</v>
      </c>
      <c r="H12" s="527" t="str">
        <f ca="1">IF((SUM(spreadt.mn)=0),"*",SUM(spreadt.mn))</f>
        <v>*</v>
      </c>
      <c r="I12" s="527" t="str">
        <f ca="1">IF((SUM(spreadt.zn)=0),"*",SUM(spreadt.zn))</f>
        <v>*</v>
      </c>
      <c r="J12" s="527" t="str">
        <f ca="1">IF((SUM(spreadt.cu)=0),"*",SUM(spreadt.cu))</f>
        <v>*</v>
      </c>
      <c r="K12" s="528" t="str">
        <f ca="1">IF((SUM(spreadt.ca)=0),"*",SUM(spreadt.ca))</f>
        <v>*</v>
      </c>
      <c r="L12" s="529" t="str">
        <f ca="1">IF((SUM(spreadt.mg)=0),"*",SUM(spreadt.mg))</f>
        <v>*</v>
      </c>
      <c r="M12" s="173"/>
      <c r="N12" s="668"/>
      <c r="O12" s="669"/>
      <c r="P12" s="670"/>
      <c r="Q12" s="173"/>
      <c r="R12" s="193"/>
      <c r="S12" s="193"/>
      <c r="T12" s="193"/>
      <c r="U12" s="193"/>
      <c r="W12" s="186"/>
      <c r="X12" s="186"/>
      <c r="Y12" s="724"/>
      <c r="Z12" s="724"/>
      <c r="AA12" s="186"/>
      <c r="AB12" s="186"/>
      <c r="AC12" s="186"/>
      <c r="AD12" s="186"/>
      <c r="AE12" s="186"/>
      <c r="AF12" s="186"/>
    </row>
    <row r="13" spans="3:32" ht="19.5" customHeight="1" thickBot="1">
      <c r="C13" s="114" t="s">
        <v>105</v>
      </c>
      <c r="D13" s="530">
        <f t="shared" ref="D13:L13" ca="1" si="0">IF(SUM(D11:D12)=0,0,SUM(D11:D12))</f>
        <v>0</v>
      </c>
      <c r="E13" s="530">
        <f t="shared" ca="1" si="0"/>
        <v>0</v>
      </c>
      <c r="F13" s="530">
        <f t="shared" ca="1" si="0"/>
        <v>0</v>
      </c>
      <c r="G13" s="530">
        <f t="shared" ca="1" si="0"/>
        <v>0</v>
      </c>
      <c r="H13" s="530">
        <f t="shared" ca="1" si="0"/>
        <v>0</v>
      </c>
      <c r="I13" s="530">
        <f t="shared" ca="1" si="0"/>
        <v>0</v>
      </c>
      <c r="J13" s="530">
        <f t="shared" ca="1" si="0"/>
        <v>0</v>
      </c>
      <c r="K13" s="530">
        <f t="shared" ca="1" si="0"/>
        <v>0</v>
      </c>
      <c r="L13" s="531">
        <f t="shared" ca="1" si="0"/>
        <v>0</v>
      </c>
      <c r="M13" s="173"/>
      <c r="N13" s="668"/>
      <c r="O13" s="669"/>
      <c r="P13" s="670"/>
      <c r="Q13" s="173"/>
      <c r="R13" s="193"/>
      <c r="S13" s="193"/>
      <c r="T13" s="193"/>
      <c r="U13" s="193"/>
      <c r="W13" s="186"/>
      <c r="X13" s="186"/>
      <c r="Y13" s="724"/>
      <c r="Z13" s="724"/>
      <c r="AA13" s="186"/>
      <c r="AB13" s="186"/>
      <c r="AC13" s="186"/>
      <c r="AD13" s="186"/>
      <c r="AE13" s="186"/>
      <c r="AF13" s="186"/>
    </row>
    <row r="14" spans="3:32" s="186" customFormat="1" ht="19.5" customHeight="1" thickTop="1">
      <c r="C14" s="115" t="s">
        <v>107</v>
      </c>
      <c r="D14" s="211" t="str">
        <f ca="1">IF(OR(all.n=0,target.n=0),"*",IF((all.n&gt;=target.n*0.95),5,IF((AND(all.n&lt;target.n*0.95,all.n&gt;=target.n*0.9)),4,IF((AND(all.n&lt;target.n*0.9,all.n&gt;=target.n*0.85)),3,IF((AND(all.n&lt;target.n*0.85,all.n&gt;=target.n*0.8)),2,IF((all.n&lt;target.n*0.8),1))))))</f>
        <v>*</v>
      </c>
      <c r="E14" s="211" t="str">
        <f ca="1">IF(OR(all.p=0,target.p=0),"*",IF((all.p&gt;=target.p*0.95),5,IF((AND(all.p&lt;target.p*0.95,all.p&gt;=target.p*0.9)),4,IF((AND(all.p&lt;target.p*0.9,all.p&gt;=target.p*0.85)),3,IF((AND(all.p&lt;target.n*0.85,all.p&gt;=target.p*0.8)),2,IF((all.p&lt;target.p*0.8),1))))))</f>
        <v>*</v>
      </c>
      <c r="F14" s="211" t="str">
        <f ca="1">IF(OR(all.k=0,target.k=0),"*",IF((all.k&gt;=target.k*0.95),5,IF((AND(all.k&lt;target.k*0.95,all.k&gt;=target.k*0.9)),4,IF((AND(all.k&lt;target.k*0.9,all.k&gt;=target.k*0.85)),3,IF((AND(all.k&lt;target.k*0.85,all.k&gt;=target.k*0.8)),2,IF((all.k&lt;target.k*0.8),1))))))</f>
        <v>*</v>
      </c>
      <c r="G14" s="211" t="str">
        <f ca="1">IF(OR(all.fe=0,target.fe=0),"*",IF((all.fe&gt;=target.fe*0.95),5,IF((AND(all.fe&lt;target.fe*0.95,all.fe&gt;=target.fe*0.9)),4,IF((AND(all.fe&lt;target.fe*0.9,all.fe&gt;=target.fe*0.85)),3,IF((AND(all.fe&lt;target.fe*0.85,all.fe&gt;=target.fe*0.8)),2,IF((all.fe&lt;target.fe*0.8),1))))))</f>
        <v>*</v>
      </c>
      <c r="H14" s="211" t="str">
        <f ca="1">IF(OR(all.mn=0,target.mn=0),"*",IF((all.mn&gt;=target.mn*0.95),5,IF((AND(all.mn&lt;target.mn*0.95,all.mn&gt;=target.mn*0.9)),4,IF((AND(all.mn&lt;target.mn*0.9,all.mn&gt;=target.mn*0.85)),3,IF((AND(all.mn&lt;target.mn*0.85,all.mn&gt;=target.mn*0.8)),2,IF((all.mn&lt;target.mn*0.8),1))))))</f>
        <v>*</v>
      </c>
      <c r="I14" s="211" t="str">
        <f ca="1">IF(OR(all.zn=0,target.zn=0),"*",IF((all.zn&gt;=target.zn*0.95),5,IF((AND(all.zn&lt;target.zn*0.95,all.zn&gt;=target.zn*0.9)),4,IF((AND(all.zn&lt;target.n*0.9,all.zn&gt;=target.zn*0.85)),3,IF((AND(all.zn&lt;target.n*0.85,all.zn=target.zn*0.8)),2,IF((all.zn&lt;target.zn*0.8),1))))))</f>
        <v>*</v>
      </c>
      <c r="J14" s="211" t="str">
        <f ca="1">IF(OR(all.cu=0,target.cu=0),"*",IF((all.cu&gt;=target.cu*0.95),5,IF((AND(all.cu&lt;target.cu*0.95,all.cu&gt;=target.cu*0.9)),4,IF((AND(all.cu&lt;target.cu*0.9,all.cu&gt;=target.cu*0.85)),3,IF((AND(all.cu&lt;target.cu*0.85,all.cu&gt;=target.cu*0.8)),2,IF((all.cu&lt;target.cu*0.8),1))))))</f>
        <v>*</v>
      </c>
      <c r="K14" s="211" t="str">
        <f ca="1">IF(OR(all.ca=0,target.ca=0),"*",IF((all.ca&gt;=target.ca*0.95),5,IF((AND(all.ca&lt;target.ca*0.95,all.ca&gt;=target.ca*0.9)),4,IF((AND(all.ca&lt;target.ca*0.9,all.ca&gt;=target.ca*0.85)),3,IF((AND(all.ca&lt;target.ca*0.85,all.ca&gt;=target.ca*0.8)),2,IF((all.ca&lt;target.ca*0.8),1))))))</f>
        <v>*</v>
      </c>
      <c r="L14" s="211" t="str">
        <f ca="1">IF(OR(all.mg=0,target.mg=0),"*",IF((all.mg&gt;=target.mg*0.95),5,IF((AND(all.mg&lt;target.mg*0.95,all.mg&gt;=target.mg*0.9)),4,IF((AND(all.mg&lt;target.n*0.9,all.mg&gt;=target.n*0.85)),3,IF((AND(all.mg&lt;target.n*0.85,all.mg&gt;=target.n*0.8)),2,IF((all.mg&lt;target.mg*0.8),1))))))</f>
        <v>*</v>
      </c>
      <c r="M14" s="193"/>
      <c r="N14" s="668"/>
      <c r="O14" s="669"/>
      <c r="P14" s="670"/>
      <c r="Q14" s="193"/>
      <c r="R14" s="193"/>
      <c r="S14" s="193"/>
      <c r="T14" s="193"/>
      <c r="U14" s="193"/>
      <c r="V14" s="166"/>
    </row>
    <row r="15" spans="3:32" s="186" customFormat="1" ht="19.5" customHeight="1">
      <c r="C15" s="200"/>
      <c r="D15" s="201" t="str">
        <f>IF((target.n=0),"*",target.n)</f>
        <v>*</v>
      </c>
      <c r="E15" s="201" t="str">
        <f>IF((target.p=0),"*",target.p)</f>
        <v>*</v>
      </c>
      <c r="F15" s="201" t="str">
        <f>IF((target.k=0),"*",target.k)</f>
        <v>*</v>
      </c>
      <c r="G15" s="201" t="str">
        <f>IF((target.fe=0),"*",target.fe)</f>
        <v>*</v>
      </c>
      <c r="H15" s="201" t="str">
        <f>IF((target.mn=0),"*",target.mn)</f>
        <v>*</v>
      </c>
      <c r="I15" s="201" t="str">
        <f>IF((target.zn=0),"*",target.zn)</f>
        <v>*</v>
      </c>
      <c r="J15" s="201" t="str">
        <f>IF((target.cu=0),"*",target.cu)</f>
        <v>*</v>
      </c>
      <c r="K15" s="201" t="str">
        <f>IF((target.ca=0),"*",target.ca)</f>
        <v>*</v>
      </c>
      <c r="L15" s="201" t="str">
        <f>IF((target.mg=0),"*",target.mg)</f>
        <v>*</v>
      </c>
      <c r="M15" s="193"/>
      <c r="N15" s="668"/>
      <c r="O15" s="669"/>
      <c r="P15" s="670"/>
      <c r="Q15" s="193"/>
      <c r="R15" s="737" t="s">
        <v>251</v>
      </c>
      <c r="S15" s="729"/>
      <c r="T15" s="729"/>
      <c r="U15" s="193"/>
      <c r="V15" s="166"/>
    </row>
    <row r="16" spans="3:32" s="186" customFormat="1" ht="19.5" customHeight="1" thickBot="1">
      <c r="C16" s="202"/>
      <c r="D16" s="193"/>
      <c r="E16" s="193"/>
      <c r="F16" s="193"/>
      <c r="G16" s="193"/>
      <c r="H16" s="193"/>
      <c r="I16" s="193"/>
      <c r="J16" s="699"/>
      <c r="K16" s="700"/>
      <c r="L16" s="701"/>
      <c r="M16" s="193"/>
      <c r="N16" s="668"/>
      <c r="O16" s="669"/>
      <c r="P16" s="670"/>
      <c r="Q16" s="193"/>
      <c r="R16" s="738"/>
      <c r="S16" s="729"/>
      <c r="T16" s="729"/>
      <c r="U16" s="193"/>
      <c r="V16" s="166"/>
      <c r="W16" s="166"/>
      <c r="X16" s="166"/>
    </row>
    <row r="17" spans="1:32" s="186" customFormat="1" ht="19.5" customHeight="1" thickBot="1">
      <c r="C17" s="113"/>
      <c r="D17" s="198" t="s">
        <v>5</v>
      </c>
      <c r="E17" s="198" t="s">
        <v>6</v>
      </c>
      <c r="F17" s="198" t="s">
        <v>11</v>
      </c>
      <c r="G17" s="198" t="s">
        <v>12</v>
      </c>
      <c r="H17" s="198" t="s">
        <v>13</v>
      </c>
      <c r="I17" s="203" t="s">
        <v>102</v>
      </c>
      <c r="J17" s="204"/>
      <c r="K17" s="205"/>
      <c r="L17" s="206"/>
      <c r="M17" s="193"/>
      <c r="N17" s="668"/>
      <c r="O17" s="669"/>
      <c r="P17" s="670"/>
      <c r="Q17" s="145" t="s">
        <v>97</v>
      </c>
      <c r="R17" s="92"/>
      <c r="S17" s="728"/>
      <c r="T17" s="728"/>
      <c r="U17" s="193"/>
      <c r="V17" s="166"/>
      <c r="W17" s="166"/>
      <c r="X17" s="166"/>
    </row>
    <row r="18" spans="1:32" ht="19.5" customHeight="1" thickBot="1">
      <c r="C18" s="113" t="s">
        <v>103</v>
      </c>
      <c r="D18" s="527" t="str">
        <f ca="1">IF((SUM(mixt.s)=0),"*",SUM(mixt.s))</f>
        <v>*</v>
      </c>
      <c r="E18" s="532" t="str">
        <f ca="1">IF((SUM(mixt.b)=0),"*",SUM(mixt.b))</f>
        <v>*</v>
      </c>
      <c r="F18" s="532" t="str">
        <f ca="1">IF((SUM(mixt.si)=0),"*",SUM(mixt.si))</f>
        <v>*</v>
      </c>
      <c r="G18" s="532" t="str">
        <f ca="1">IF((SUM(mixt.mo)=0),"*",SUM(mixt.mo))</f>
        <v>*</v>
      </c>
      <c r="H18" s="532" t="str">
        <f ca="1">IF((SUM(mixt.co)=0),"*",SUM(mixt.co))</f>
        <v>*</v>
      </c>
      <c r="I18" s="533" t="str">
        <f ca="1">IF((SUM(mixt.hpo3)=0),"*",SUM(mixt.hpo3))</f>
        <v>*</v>
      </c>
      <c r="J18" s="534"/>
      <c r="K18" s="527"/>
      <c r="L18" s="535"/>
      <c r="M18" s="173"/>
      <c r="N18" s="668"/>
      <c r="O18" s="669"/>
      <c r="P18" s="670"/>
      <c r="Q18" s="146" t="s">
        <v>98</v>
      </c>
      <c r="R18" s="92"/>
      <c r="S18" s="209"/>
      <c r="T18" s="210"/>
      <c r="U18" s="173"/>
    </row>
    <row r="19" spans="1:32" ht="19.5" customHeight="1" thickBot="1">
      <c r="C19" s="113" t="s">
        <v>104</v>
      </c>
      <c r="D19" s="527" t="str">
        <f ca="1">IF((SUM(spreadt.s)=0),"*",SUM(spreadt.s))</f>
        <v>*</v>
      </c>
      <c r="E19" s="532" t="str">
        <f ca="1">IF((SUM(spreadt.b)=0),"*",SUM(spreadt.b))</f>
        <v>*</v>
      </c>
      <c r="F19" s="532" t="str">
        <f ca="1">IF((SUM(spreadt.si)=0),"*",SUM(spreadt.si))</f>
        <v>*</v>
      </c>
      <c r="G19" s="532" t="str">
        <f ca="1">IF((SUM(spreadt.mo)=0),"*",SUM(spreadt.mo))</f>
        <v>*</v>
      </c>
      <c r="H19" s="532" t="str">
        <f ca="1">IF((SUM(spreadt.co)=0),"*",SUM(spreadt.co))</f>
        <v>*</v>
      </c>
      <c r="I19" s="533" t="str">
        <f ca="1">IF((SUM(spreadt.hpo3)=0),"*",SUM(spreadt.hpo3))</f>
        <v>*</v>
      </c>
      <c r="J19" s="534"/>
      <c r="K19" s="527"/>
      <c r="L19" s="535"/>
      <c r="M19" s="173"/>
      <c r="N19" s="668"/>
      <c r="O19" s="669"/>
      <c r="P19" s="670"/>
      <c r="Q19" s="146" t="s">
        <v>99</v>
      </c>
      <c r="R19" s="92"/>
      <c r="S19" s="209"/>
      <c r="T19" s="210"/>
      <c r="U19" s="173"/>
    </row>
    <row r="20" spans="1:32" ht="19.5" customHeight="1" thickBot="1">
      <c r="C20" s="116" t="s">
        <v>105</v>
      </c>
      <c r="D20" s="530">
        <f t="shared" ref="D20:I20" ca="1" si="1">IF(SUM(D18:D19)=0,0,SUM(D18:D19))</f>
        <v>0</v>
      </c>
      <c r="E20" s="536">
        <f t="shared" ca="1" si="1"/>
        <v>0</v>
      </c>
      <c r="F20" s="536">
        <f t="shared" ca="1" si="1"/>
        <v>0</v>
      </c>
      <c r="G20" s="536">
        <f t="shared" ca="1" si="1"/>
        <v>0</v>
      </c>
      <c r="H20" s="536">
        <f t="shared" ca="1" si="1"/>
        <v>0</v>
      </c>
      <c r="I20" s="537">
        <f t="shared" ca="1" si="1"/>
        <v>0</v>
      </c>
      <c r="J20" s="538"/>
      <c r="K20" s="539"/>
      <c r="L20" s="540"/>
      <c r="M20" s="173"/>
      <c r="N20" s="668"/>
      <c r="O20" s="669"/>
      <c r="P20" s="670"/>
      <c r="Q20" s="146" t="s">
        <v>100</v>
      </c>
      <c r="R20" s="92"/>
      <c r="S20" s="209"/>
      <c r="T20" s="210"/>
      <c r="U20" s="173"/>
    </row>
    <row r="21" spans="1:32" s="17" customFormat="1" ht="19.5" customHeight="1" thickTop="1" thickBot="1">
      <c r="A21" s="70"/>
      <c r="B21" s="70"/>
      <c r="C21" s="115" t="s">
        <v>107</v>
      </c>
      <c r="D21" s="211" t="str">
        <f ca="1">IF(OR(all.s=0,target.s=0),"*",IF((all.s&gt;=target.s*0.95),5,IF((AND(all.s&lt;target.s*0.95,all.s&gt;=target.s*0.9)),4,IF((AND(all.s&lt;target.s*0.9,all.s&gt;=target.s*0.85)),3,IF((AND(all.s&lt;target.s*0.85,all.s&gt;=target.s*0.8)),2,IF((all.s&lt;target.s*0.8),1))))))</f>
        <v>*</v>
      </c>
      <c r="E21" s="299" t="str">
        <f ca="1">IF(OR(all.b=0,target.b=0),"*",IF((all.b&gt;=target.b*0.95),5,IF((AND(all.b&lt;target.b*0.95,all.b&gt;=target.b*0.9)),4,IF((AND(all.b&lt;target.b*0.9,all.b&gt;=target.b*0.85)),3,IF((AND(all.b&lt;target.b*0.85,all.b&gt;=target.b*0.8)),2,IF((all.b&lt;target.b*0.8),1))))))</f>
        <v>*</v>
      </c>
      <c r="F21" s="299" t="str">
        <f ca="1">IF(OR(all.si=0,target.si=0),"*",IF((all.si&gt;=target.si*0.95),5,IF((AND(all.si&lt;target.si*0.95,all.si&gt;=target.si*0.9)),4,IF((AND(all.si&lt;target.si*0.9,all.si&gt;=target.si*0.85)),3,IF((AND(all.si&lt;target.si*0.85,all.si&gt;=target.si*0.8)),2,IF((all.si&lt;target.si*0.8),1))))))</f>
        <v>*</v>
      </c>
      <c r="G21" s="299" t="str">
        <f ca="1">IF(OR(all.mo=0,target.mo=0),"*",IF((all.mo&gt;=target.mo*0.95),5,IF((AND(all.mo&lt;target.mo*0.95,all.mo&gt;=target.mo*0.9)),4,IF((AND(all.mo&lt;target.mo*0.9,all.mo&gt;=target.mo*0.85)),3,IF((AND(all.mo&lt;target.mo*0.85,all.mo&gt;=target.mo*0.8)),2,IF((all.mo&lt;target.mo*0.8),1))))))</f>
        <v>*</v>
      </c>
      <c r="H21" s="299" t="str">
        <f ca="1">IF(OR(all.co=0,target.co=0),"*",IF((all.co&gt;=target.co*0.95),5,IF((AND(all.co&lt;target.co*0.95,all.co&gt;=target.co*0.9)),4,IF((AND(all.co&lt;target.co*0.9,all.co&gt;=target.co*0.85)),3,IF((AND(all.co&lt;target.co*0.85,all.co&gt;=target.co*0.8)),2,IF((all.co&lt;target.co*0.8),1))))))</f>
        <v>*</v>
      </c>
      <c r="I21" s="299" t="str">
        <f ca="1">IF(OR(all.hpo3=0,target.hpo3=0),"*",IF((all.hpo3&gt;=target.hpo3*0.95),5,IF((AND(all.hpo3&lt;target.hpo3*0.95,all.hpo3&gt;=target.hpo3*0.9)),4,IF((AND(all.hpo3&lt;target.hpo3*0.9,all.hpo3&gt;=target.hpo3*0.85)),3,IF((AND(all.hpo3&lt;target.hpo3*0.85,all.hpo3&gt;=target.hpo3*0.8)),2,IF((all.hpo3&lt;target.hpo3*0.8),1))))))</f>
        <v>*</v>
      </c>
      <c r="J21" s="211"/>
      <c r="K21" s="211"/>
      <c r="L21" s="260"/>
      <c r="M21" s="81"/>
      <c r="N21" s="668"/>
      <c r="O21" s="669"/>
      <c r="P21" s="670"/>
      <c r="Q21" s="146" t="s">
        <v>125</v>
      </c>
      <c r="R21" s="92"/>
      <c r="S21" s="209"/>
      <c r="T21" s="210"/>
      <c r="U21" s="10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7" customFormat="1" ht="19.5" customHeight="1" thickBot="1">
      <c r="A22" s="70"/>
      <c r="B22" s="70"/>
      <c r="C22" s="144"/>
      <c r="D22" s="207" t="str">
        <f>IF((target.s=0),"*",target.s)</f>
        <v>*</v>
      </c>
      <c r="E22" s="207" t="str">
        <f>IF((target.b=0),"*",target.b)</f>
        <v>*</v>
      </c>
      <c r="F22" s="207" t="str">
        <f>IF((target.si=0),"*",target.si)</f>
        <v>*</v>
      </c>
      <c r="G22" s="207" t="str">
        <f>IF((target.mo=0),"*",target.mo)</f>
        <v>*</v>
      </c>
      <c r="H22" s="207" t="str">
        <f>IF((target.co=0),"*",target.co)</f>
        <v>*</v>
      </c>
      <c r="I22" s="207" t="str">
        <f>IF((target.hpo3=0),"*",target.hpo3)</f>
        <v>*</v>
      </c>
      <c r="J22" s="207"/>
      <c r="K22" s="207"/>
      <c r="L22" s="208"/>
      <c r="M22" s="81"/>
      <c r="N22" s="671"/>
      <c r="O22" s="672"/>
      <c r="P22" s="673"/>
      <c r="Q22" s="146" t="s">
        <v>126</v>
      </c>
      <c r="R22" s="92"/>
      <c r="S22" s="209"/>
      <c r="T22" s="210"/>
      <c r="U22" s="10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7" customFormat="1" ht="9" customHeight="1" thickTop="1" thickBot="1">
      <c r="A23" s="70"/>
      <c r="B23" s="70"/>
      <c r="C23" s="90"/>
      <c r="D23" s="90"/>
      <c r="E23" s="90"/>
      <c r="F23" s="73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7" customFormat="1" ht="19.5" customHeight="1" thickTop="1">
      <c r="C24" s="687" t="s">
        <v>66</v>
      </c>
      <c r="D24" s="688"/>
      <c r="E24" s="688"/>
      <c r="F24" s="695" t="s">
        <v>71</v>
      </c>
      <c r="G24" s="695" t="s">
        <v>83</v>
      </c>
      <c r="H24" s="695" t="s">
        <v>122</v>
      </c>
      <c r="I24" s="695" t="s">
        <v>84</v>
      </c>
      <c r="J24" s="695" t="s">
        <v>86</v>
      </c>
      <c r="K24" s="695" t="s">
        <v>85</v>
      </c>
      <c r="L24" s="679" t="s">
        <v>131</v>
      </c>
      <c r="M24" s="680"/>
      <c r="N24" s="679" t="s">
        <v>127</v>
      </c>
      <c r="O24" s="680"/>
      <c r="P24" s="679" t="s">
        <v>128</v>
      </c>
      <c r="Q24" s="680"/>
      <c r="R24" s="679" t="s">
        <v>129</v>
      </c>
      <c r="S24" s="680"/>
      <c r="T24" s="679" t="s">
        <v>130</v>
      </c>
      <c r="U24" s="714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7" customFormat="1" ht="20.100000000000001" customHeight="1" thickBot="1">
      <c r="C25" s="689"/>
      <c r="D25" s="690"/>
      <c r="E25" s="690"/>
      <c r="F25" s="696"/>
      <c r="G25" s="696"/>
      <c r="H25" s="696"/>
      <c r="I25" s="696"/>
      <c r="J25" s="696"/>
      <c r="K25" s="696"/>
      <c r="L25" s="681"/>
      <c r="M25" s="682"/>
      <c r="N25" s="681"/>
      <c r="O25" s="682"/>
      <c r="P25" s="681"/>
      <c r="Q25" s="682"/>
      <c r="R25" s="681"/>
      <c r="S25" s="682"/>
      <c r="T25" s="681"/>
      <c r="U25" s="71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7" customFormat="1" ht="20.100000000000001" customHeight="1">
      <c r="A26" s="70">
        <f t="shared" ref="A26:A35" si="2">IF(($C26=id.255),3,IF(($C26=id.256),4,IF(($C26=id.215),5,IF(($C26=id.200),7,IF(($C26=id.285),10,IF(($C26=id.210),12,IF(($C26=id.106),13,IF(($C26=id.310),14,IF(($C26=id.141),15,IF(($C26=id.360),16,IF(($C26=id.245),17,IF(($C26=id.225),18,IF(($C26=id.192),19,IF(($C26=id.196),20,IF(($C26=id.330),21,IF(($C26=id.675),22,IF(($C26=id.730),23,IF(($C26=id.855),24,IF(($C26=id.178),25,IF(($C26=id.242),26,IF(($C26=id.180),28,IF(($C26=id.185),29,IF(($C26=id.195),30,IF(($C26=id.240),31,IF(($C26=id.300),32,IF(($C26=id.177),33,IF(($C26=id.860),35,IF(($C26=id.840),36,IF(($C26=id.865),37,IF(($C26=id.800),38,IF(($C26=id.600),41,IF(($C26=id.610),42,IF(($C26=id.630),43,IF(($C26=id.620),44,IF(($C26=id.x1),48,IF(($C26=id.x2),49,"47"))))))))))))))))))))))))))))))))))))</f>
        <v>16</v>
      </c>
      <c r="B26" s="70"/>
      <c r="C26" s="716" t="str">
        <f>IF((m1.1=""),"",m1.1)</f>
        <v/>
      </c>
      <c r="D26" s="717"/>
      <c r="E26" s="717"/>
      <c r="F26" s="94" t="str">
        <f>IF(($C26=""),"*",IF((m1r.1=""),"0",((m1r.1*(total.sqft/1000))*((mix1.count)))))</f>
        <v>*</v>
      </c>
      <c r="G26" s="96" t="str">
        <f t="shared" ref="G26:G35" si="3">IF(($C26=""),"*",(F26/128))</f>
        <v>*</v>
      </c>
      <c r="H26" s="96" t="str">
        <f t="shared" ref="H26:H35" ca="1" si="4">IF(($C26=""),"*",(INDIRECT("'PRODUCT DATA'!$D"&amp;$A26&amp;"")*global.discount))</f>
        <v>*</v>
      </c>
      <c r="I26" s="95" t="str">
        <f ca="1">IF(OR($C26="",$H26=0),"*",(($H26/128)*m1r.1)*43.56)</f>
        <v>*</v>
      </c>
      <c r="J26" s="95" t="str">
        <f t="shared" ref="J26:J35" ca="1" si="5">IF(OR($C26="",$H26=0),"*",($H26*$G26/mix1.count))</f>
        <v>*</v>
      </c>
      <c r="K26" s="95" t="str">
        <f t="shared" ref="K26:K35" ca="1" si="6">IF(OR($C26="",$H26=0),"*",($H26*$G26))</f>
        <v>*</v>
      </c>
      <c r="L26" s="160" t="str">
        <f t="shared" ref="L26:L35" si="7">IF(($C26=""),"0",(ROUNDUP(($G26/5),0)))</f>
        <v>0</v>
      </c>
      <c r="M26" s="95" t="str">
        <f t="shared" ref="M26:M35" ca="1" si="8">IF(OR($C26="",$H26=0),"*",$H26*($L26*5))</f>
        <v>*</v>
      </c>
      <c r="N26" s="155" t="str">
        <f t="shared" ref="N26:N35" si="9">IF(($L26*5)&lt;15,"*",($G26/15))</f>
        <v>*</v>
      </c>
      <c r="O26" s="95" t="str">
        <f t="shared" ref="O26:O35" ca="1" si="10">IF(OR($N26="*",$H26=0),"*",($H26-$R$17)*($N26*15))</f>
        <v>*</v>
      </c>
      <c r="P26" s="155" t="str">
        <f t="shared" ref="P26:P35" si="11">IF(($L26*5)&lt;30,"*",($G26/30))</f>
        <v>*</v>
      </c>
      <c r="Q26" s="95" t="str">
        <f t="shared" ref="Q26:Q35" ca="1" si="12">IF(OR($P26="*",$H26=0),"*",($H26-$R$18)*($P26*30))</f>
        <v>*</v>
      </c>
      <c r="R26" s="155" t="str">
        <f t="shared" ref="R26:R35" si="13">IF(($L26*5)&lt;55,"*",($G26/55))</f>
        <v>*</v>
      </c>
      <c r="S26" s="95" t="str">
        <f t="shared" ref="S26:S35" ca="1" si="14">IF(OR($R26="*",$H26=0),"*",($H26-$R$19)*($R26*55))</f>
        <v>*</v>
      </c>
      <c r="T26" s="155" t="str">
        <f t="shared" ref="T26:T35" si="15">IF(($L26*5)&lt;270,"*",($G26/270))</f>
        <v>*</v>
      </c>
      <c r="U26" s="147" t="str">
        <f t="shared" ref="U26:U35" ca="1" si="16">IF(OR($T26="*",$H26=0),"*",($H26-$R$20)*($T26*270))</f>
        <v>*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7" customFormat="1" ht="20.100000000000001" customHeight="1">
      <c r="A27" s="70">
        <f t="shared" si="2"/>
        <v>16</v>
      </c>
      <c r="B27" s="70"/>
      <c r="C27" s="716" t="str">
        <f>IF((m1.2=""),"",m1.2)</f>
        <v/>
      </c>
      <c r="D27" s="717"/>
      <c r="E27" s="717"/>
      <c r="F27" s="94" t="str">
        <f>IF(($C27=""),"*",IF((m1r.2=""),"0",((m1r.2*(total.sqft/1000))*((mix1.count)))))</f>
        <v>*</v>
      </c>
      <c r="G27" s="96" t="str">
        <f t="shared" si="3"/>
        <v>*</v>
      </c>
      <c r="H27" s="96" t="str">
        <f t="shared" ca="1" si="4"/>
        <v>*</v>
      </c>
      <c r="I27" s="95" t="str">
        <f ca="1">IF(OR($C27="",$H27=0),"*",(($H27/128)*m1r.2)*43.56)</f>
        <v>*</v>
      </c>
      <c r="J27" s="95" t="str">
        <f t="shared" ca="1" si="5"/>
        <v>*</v>
      </c>
      <c r="K27" s="95" t="str">
        <f t="shared" ca="1" si="6"/>
        <v>*</v>
      </c>
      <c r="L27" s="160" t="str">
        <f t="shared" si="7"/>
        <v>0</v>
      </c>
      <c r="M27" s="95" t="str">
        <f t="shared" ca="1" si="8"/>
        <v>*</v>
      </c>
      <c r="N27" s="155" t="str">
        <f t="shared" si="9"/>
        <v>*</v>
      </c>
      <c r="O27" s="95" t="str">
        <f t="shared" ca="1" si="10"/>
        <v>*</v>
      </c>
      <c r="P27" s="155" t="str">
        <f t="shared" si="11"/>
        <v>*</v>
      </c>
      <c r="Q27" s="95" t="str">
        <f t="shared" ca="1" si="12"/>
        <v>*</v>
      </c>
      <c r="R27" s="155" t="str">
        <f t="shared" si="13"/>
        <v>*</v>
      </c>
      <c r="S27" s="95" t="str">
        <f t="shared" ca="1" si="14"/>
        <v>*</v>
      </c>
      <c r="T27" s="155" t="str">
        <f t="shared" si="15"/>
        <v>*</v>
      </c>
      <c r="U27" s="147" t="str">
        <f t="shared" ca="1" si="16"/>
        <v>*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7" customFormat="1" ht="20.100000000000001" customHeight="1">
      <c r="A28" s="70">
        <f t="shared" si="2"/>
        <v>16</v>
      </c>
      <c r="B28" s="70"/>
      <c r="C28" s="716" t="str">
        <f>IF((m1.3=""),"",m1.3)</f>
        <v/>
      </c>
      <c r="D28" s="717"/>
      <c r="E28" s="717"/>
      <c r="F28" s="94" t="str">
        <f>IF(($C28=""),"*",IF((m1r.3=""),"0",((m1r.3*(total.sqft/1000))*((mix1.count)))))</f>
        <v>*</v>
      </c>
      <c r="G28" s="96" t="str">
        <f t="shared" si="3"/>
        <v>*</v>
      </c>
      <c r="H28" s="96" t="str">
        <f t="shared" ca="1" si="4"/>
        <v>*</v>
      </c>
      <c r="I28" s="95" t="str">
        <f ca="1">IF(OR($C28="",$H28=0),"*",(($H28/128)*m1r.3)*43.56)</f>
        <v>*</v>
      </c>
      <c r="J28" s="95" t="str">
        <f t="shared" ca="1" si="5"/>
        <v>*</v>
      </c>
      <c r="K28" s="95" t="str">
        <f t="shared" ca="1" si="6"/>
        <v>*</v>
      </c>
      <c r="L28" s="160" t="str">
        <f t="shared" si="7"/>
        <v>0</v>
      </c>
      <c r="M28" s="95" t="str">
        <f t="shared" ca="1" si="8"/>
        <v>*</v>
      </c>
      <c r="N28" s="155" t="str">
        <f t="shared" si="9"/>
        <v>*</v>
      </c>
      <c r="O28" s="95" t="str">
        <f t="shared" ca="1" si="10"/>
        <v>*</v>
      </c>
      <c r="P28" s="155" t="str">
        <f t="shared" si="11"/>
        <v>*</v>
      </c>
      <c r="Q28" s="95" t="str">
        <f t="shared" ca="1" si="12"/>
        <v>*</v>
      </c>
      <c r="R28" s="155" t="str">
        <f t="shared" si="13"/>
        <v>*</v>
      </c>
      <c r="S28" s="95" t="str">
        <f t="shared" ca="1" si="14"/>
        <v>*</v>
      </c>
      <c r="T28" s="155" t="str">
        <f t="shared" si="15"/>
        <v>*</v>
      </c>
      <c r="U28" s="147" t="str">
        <f t="shared" ca="1" si="16"/>
        <v>*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7" customFormat="1" ht="20.100000000000001" customHeight="1">
      <c r="A29" s="70">
        <f t="shared" si="2"/>
        <v>16</v>
      </c>
      <c r="B29" s="70"/>
      <c r="C29" s="716" t="str">
        <f>IF((m1.4=""),"",m1.4)</f>
        <v/>
      </c>
      <c r="D29" s="717"/>
      <c r="E29" s="717"/>
      <c r="F29" s="94" t="str">
        <f>IF(($C29=""),"*",IF((m1r.4=""),"0",((m1r.4*(total.sqft/1000))*((mix1.count)))))</f>
        <v>*</v>
      </c>
      <c r="G29" s="96" t="str">
        <f t="shared" ref="G29:G32" si="17">IF(($C29=""),"*",(F29/128))</f>
        <v>*</v>
      </c>
      <c r="H29" s="96" t="str">
        <f t="shared" ca="1" si="4"/>
        <v>*</v>
      </c>
      <c r="I29" s="95" t="str">
        <f ca="1">IF(OR($C29="",$H29=0),"*",(($H29/128)*m1r.4)*43.56)</f>
        <v>*</v>
      </c>
      <c r="J29" s="95" t="str">
        <f t="shared" ca="1" si="5"/>
        <v>*</v>
      </c>
      <c r="K29" s="95" t="str">
        <f t="shared" ca="1" si="6"/>
        <v>*</v>
      </c>
      <c r="L29" s="160" t="str">
        <f t="shared" si="7"/>
        <v>0</v>
      </c>
      <c r="M29" s="95" t="str">
        <f t="shared" ca="1" si="8"/>
        <v>*</v>
      </c>
      <c r="N29" s="155" t="str">
        <f t="shared" si="9"/>
        <v>*</v>
      </c>
      <c r="O29" s="95" t="str">
        <f t="shared" ca="1" si="10"/>
        <v>*</v>
      </c>
      <c r="P29" s="155" t="str">
        <f t="shared" si="11"/>
        <v>*</v>
      </c>
      <c r="Q29" s="95" t="str">
        <f t="shared" ca="1" si="12"/>
        <v>*</v>
      </c>
      <c r="R29" s="155" t="str">
        <f t="shared" si="13"/>
        <v>*</v>
      </c>
      <c r="S29" s="95" t="str">
        <f t="shared" ca="1" si="14"/>
        <v>*</v>
      </c>
      <c r="T29" s="155" t="str">
        <f t="shared" si="15"/>
        <v>*</v>
      </c>
      <c r="U29" s="147" t="str">
        <f t="shared" ca="1" si="16"/>
        <v>*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17" customFormat="1" ht="20.100000000000001" customHeight="1">
      <c r="A30" s="70">
        <f t="shared" si="2"/>
        <v>16</v>
      </c>
      <c r="B30" s="70"/>
      <c r="C30" s="716" t="str">
        <f>IF((m1.5=""),"",m1.5)</f>
        <v/>
      </c>
      <c r="D30" s="717"/>
      <c r="E30" s="717"/>
      <c r="F30" s="94" t="str">
        <f>IF(($C30=""),"*",IF((m1r.5=""),"0",((m1r.5*(total.sqft/1000))*((mix1.count)))))</f>
        <v>*</v>
      </c>
      <c r="G30" s="96" t="str">
        <f t="shared" si="17"/>
        <v>*</v>
      </c>
      <c r="H30" s="96" t="str">
        <f t="shared" ca="1" si="4"/>
        <v>*</v>
      </c>
      <c r="I30" s="95" t="str">
        <f ca="1">IF(OR($C30="",$H30=0),"*",(($H30/128)*m1r.5)*43.56)</f>
        <v>*</v>
      </c>
      <c r="J30" s="95" t="str">
        <f t="shared" ca="1" si="5"/>
        <v>*</v>
      </c>
      <c r="K30" s="95" t="str">
        <f t="shared" ca="1" si="6"/>
        <v>*</v>
      </c>
      <c r="L30" s="160" t="str">
        <f t="shared" si="7"/>
        <v>0</v>
      </c>
      <c r="M30" s="95" t="str">
        <f t="shared" ca="1" si="8"/>
        <v>*</v>
      </c>
      <c r="N30" s="155" t="str">
        <f t="shared" si="9"/>
        <v>*</v>
      </c>
      <c r="O30" s="95" t="str">
        <f t="shared" ca="1" si="10"/>
        <v>*</v>
      </c>
      <c r="P30" s="155" t="str">
        <f t="shared" si="11"/>
        <v>*</v>
      </c>
      <c r="Q30" s="95" t="str">
        <f t="shared" ca="1" si="12"/>
        <v>*</v>
      </c>
      <c r="R30" s="155" t="str">
        <f t="shared" si="13"/>
        <v>*</v>
      </c>
      <c r="S30" s="95" t="str">
        <f t="shared" ca="1" si="14"/>
        <v>*</v>
      </c>
      <c r="T30" s="155" t="str">
        <f t="shared" si="15"/>
        <v>*</v>
      </c>
      <c r="U30" s="147" t="str">
        <f t="shared" ca="1" si="16"/>
        <v>*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17" customFormat="1" ht="20.100000000000001" customHeight="1">
      <c r="A31" s="70">
        <f t="shared" si="2"/>
        <v>16</v>
      </c>
      <c r="B31" s="70"/>
      <c r="C31" s="740" t="str">
        <f>IF((m1.6=""),"",m1.6)</f>
        <v/>
      </c>
      <c r="D31" s="741"/>
      <c r="E31" s="741"/>
      <c r="F31" s="544" t="str">
        <f>IF(($C31=""),"*",IF((m1r.6=""),"0",((m1r.6*(total.sqft/1000))*((mix1.count)))))</f>
        <v>*</v>
      </c>
      <c r="G31" s="545" t="str">
        <f t="shared" si="17"/>
        <v>*</v>
      </c>
      <c r="H31" s="545" t="str">
        <f t="shared" ca="1" si="4"/>
        <v>*</v>
      </c>
      <c r="I31" s="546" t="str">
        <f ca="1">IF(OR($C31="",$H31=0),"*",(($H31/128)*m1r.6)*43.56)</f>
        <v>*</v>
      </c>
      <c r="J31" s="546" t="str">
        <f t="shared" ca="1" si="5"/>
        <v>*</v>
      </c>
      <c r="K31" s="546" t="str">
        <f t="shared" ca="1" si="6"/>
        <v>*</v>
      </c>
      <c r="L31" s="547" t="str">
        <f t="shared" si="7"/>
        <v>0</v>
      </c>
      <c r="M31" s="546" t="str">
        <f t="shared" ca="1" si="8"/>
        <v>*</v>
      </c>
      <c r="N31" s="548" t="str">
        <f t="shared" si="9"/>
        <v>*</v>
      </c>
      <c r="O31" s="546" t="str">
        <f t="shared" ca="1" si="10"/>
        <v>*</v>
      </c>
      <c r="P31" s="548" t="str">
        <f t="shared" si="11"/>
        <v>*</v>
      </c>
      <c r="Q31" s="546" t="str">
        <f t="shared" ca="1" si="12"/>
        <v>*</v>
      </c>
      <c r="R31" s="548" t="str">
        <f t="shared" si="13"/>
        <v>*</v>
      </c>
      <c r="S31" s="546" t="str">
        <f t="shared" ca="1" si="14"/>
        <v>*</v>
      </c>
      <c r="T31" s="548" t="str">
        <f t="shared" si="15"/>
        <v>*</v>
      </c>
      <c r="U31" s="549" t="str">
        <f t="shared" ca="1" si="16"/>
        <v>*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17" customFormat="1" ht="20.100000000000001" customHeight="1">
      <c r="A32" s="70">
        <f t="shared" si="2"/>
        <v>16</v>
      </c>
      <c r="B32" s="70"/>
      <c r="C32" s="716" t="str">
        <f>IF((m1.7=""),"",m1.7)</f>
        <v/>
      </c>
      <c r="D32" s="717"/>
      <c r="E32" s="717"/>
      <c r="F32" s="94" t="str">
        <f>IF(($C32=""),"*",IF((m1r.7=""),"0",((m1r.7*(total.sqft/1000))*((mix1.count)))))</f>
        <v>*</v>
      </c>
      <c r="G32" s="96" t="str">
        <f t="shared" si="17"/>
        <v>*</v>
      </c>
      <c r="H32" s="96" t="str">
        <f t="shared" ca="1" si="4"/>
        <v>*</v>
      </c>
      <c r="I32" s="95" t="str">
        <f ca="1">IF(OR($C32="",$H32=0),"*",(($H32/128)*m1r.7)*43.56)</f>
        <v>*</v>
      </c>
      <c r="J32" s="95" t="str">
        <f t="shared" ca="1" si="5"/>
        <v>*</v>
      </c>
      <c r="K32" s="95" t="str">
        <f t="shared" ca="1" si="6"/>
        <v>*</v>
      </c>
      <c r="L32" s="160" t="str">
        <f t="shared" si="7"/>
        <v>0</v>
      </c>
      <c r="M32" s="95" t="str">
        <f t="shared" ca="1" si="8"/>
        <v>*</v>
      </c>
      <c r="N32" s="155" t="str">
        <f t="shared" si="9"/>
        <v>*</v>
      </c>
      <c r="O32" s="95" t="str">
        <f t="shared" ca="1" si="10"/>
        <v>*</v>
      </c>
      <c r="P32" s="155" t="str">
        <f t="shared" si="11"/>
        <v>*</v>
      </c>
      <c r="Q32" s="95" t="str">
        <f t="shared" ca="1" si="12"/>
        <v>*</v>
      </c>
      <c r="R32" s="155" t="str">
        <f t="shared" si="13"/>
        <v>*</v>
      </c>
      <c r="S32" s="95" t="str">
        <f t="shared" ca="1" si="14"/>
        <v>*</v>
      </c>
      <c r="T32" s="155" t="str">
        <f t="shared" si="15"/>
        <v>*</v>
      </c>
      <c r="U32" s="147" t="str">
        <f t="shared" ca="1" si="16"/>
        <v>*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17" customFormat="1" ht="20.100000000000001" customHeight="1">
      <c r="A33" s="70">
        <f t="shared" si="2"/>
        <v>16</v>
      </c>
      <c r="B33" s="70"/>
      <c r="C33" s="716" t="str">
        <f>IF((m1.8=""),"",m1.8)</f>
        <v/>
      </c>
      <c r="D33" s="717"/>
      <c r="E33" s="717"/>
      <c r="F33" s="94" t="str">
        <f>IF(($C33=""),"*",IF((m1r.8=""),"0",((m1r.8*(total.sqft/1000))*((mix1.count)))))</f>
        <v>*</v>
      </c>
      <c r="G33" s="96" t="str">
        <f t="shared" si="3"/>
        <v>*</v>
      </c>
      <c r="H33" s="96" t="str">
        <f t="shared" ca="1" si="4"/>
        <v>*</v>
      </c>
      <c r="I33" s="95" t="str">
        <f ca="1">IF(OR($C33="",$H33=0),"*",(($H33/128)*m1r.8)*43.56)</f>
        <v>*</v>
      </c>
      <c r="J33" s="95" t="str">
        <f t="shared" ca="1" si="5"/>
        <v>*</v>
      </c>
      <c r="K33" s="95" t="str">
        <f t="shared" ca="1" si="6"/>
        <v>*</v>
      </c>
      <c r="L33" s="160" t="str">
        <f t="shared" si="7"/>
        <v>0</v>
      </c>
      <c r="M33" s="95" t="str">
        <f t="shared" ca="1" si="8"/>
        <v>*</v>
      </c>
      <c r="N33" s="155" t="str">
        <f t="shared" si="9"/>
        <v>*</v>
      </c>
      <c r="O33" s="95" t="str">
        <f t="shared" ca="1" si="10"/>
        <v>*</v>
      </c>
      <c r="P33" s="155" t="str">
        <f t="shared" si="11"/>
        <v>*</v>
      </c>
      <c r="Q33" s="95" t="str">
        <f t="shared" ca="1" si="12"/>
        <v>*</v>
      </c>
      <c r="R33" s="155" t="str">
        <f t="shared" si="13"/>
        <v>*</v>
      </c>
      <c r="S33" s="95" t="str">
        <f t="shared" ca="1" si="14"/>
        <v>*</v>
      </c>
      <c r="T33" s="155" t="str">
        <f t="shared" si="15"/>
        <v>*</v>
      </c>
      <c r="U33" s="147" t="str">
        <f t="shared" ca="1" si="16"/>
        <v>*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s="17" customFormat="1" ht="20.100000000000001" customHeight="1">
      <c r="A34" s="70">
        <f t="shared" si="2"/>
        <v>16</v>
      </c>
      <c r="B34" s="70"/>
      <c r="C34" s="716" t="str">
        <f>IF((m1.9=""),"",m1.9)</f>
        <v/>
      </c>
      <c r="D34" s="717"/>
      <c r="E34" s="717"/>
      <c r="F34" s="94" t="str">
        <f>IF(($C34=""),"*",IF((m1r.9=""),"0",((m1r.9*(total.sqft/1000))*((mix1.count)))))</f>
        <v>*</v>
      </c>
      <c r="G34" s="96" t="str">
        <f t="shared" si="3"/>
        <v>*</v>
      </c>
      <c r="H34" s="96" t="str">
        <f t="shared" ca="1" si="4"/>
        <v>*</v>
      </c>
      <c r="I34" s="95" t="str">
        <f ca="1">IF(OR($C34="",$H34=0),"*",(($H34/128)*m1r.9)*43.56)</f>
        <v>*</v>
      </c>
      <c r="J34" s="95" t="str">
        <f t="shared" ca="1" si="5"/>
        <v>*</v>
      </c>
      <c r="K34" s="95" t="str">
        <f t="shared" ca="1" si="6"/>
        <v>*</v>
      </c>
      <c r="L34" s="160" t="str">
        <f t="shared" si="7"/>
        <v>0</v>
      </c>
      <c r="M34" s="95" t="str">
        <f t="shared" ca="1" si="8"/>
        <v>*</v>
      </c>
      <c r="N34" s="155" t="str">
        <f t="shared" si="9"/>
        <v>*</v>
      </c>
      <c r="O34" s="95" t="str">
        <f t="shared" ca="1" si="10"/>
        <v>*</v>
      </c>
      <c r="P34" s="155" t="str">
        <f t="shared" si="11"/>
        <v>*</v>
      </c>
      <c r="Q34" s="95" t="str">
        <f t="shared" ca="1" si="12"/>
        <v>*</v>
      </c>
      <c r="R34" s="155" t="str">
        <f t="shared" si="13"/>
        <v>*</v>
      </c>
      <c r="S34" s="95" t="str">
        <f t="shared" ca="1" si="14"/>
        <v>*</v>
      </c>
      <c r="T34" s="155" t="str">
        <f t="shared" si="15"/>
        <v>*</v>
      </c>
      <c r="U34" s="147" t="str">
        <f t="shared" ca="1" si="16"/>
        <v>*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17" customFormat="1" ht="20.100000000000001" customHeight="1" thickBot="1">
      <c r="A35" s="70">
        <f t="shared" si="2"/>
        <v>16</v>
      </c>
      <c r="B35" s="70"/>
      <c r="C35" s="720" t="str">
        <f>IF((m1.10=""),"",m1.10)</f>
        <v/>
      </c>
      <c r="D35" s="721"/>
      <c r="E35" s="721"/>
      <c r="F35" s="148" t="str">
        <f>IF(($C35=""),"*",IF((m1r.10=""),"0",((m1r.10*(total.sqft/1000))*((mix1.count)))))</f>
        <v>*</v>
      </c>
      <c r="G35" s="149" t="str">
        <f t="shared" si="3"/>
        <v>*</v>
      </c>
      <c r="H35" s="149" t="str">
        <f t="shared" ca="1" si="4"/>
        <v>*</v>
      </c>
      <c r="I35" s="150" t="str">
        <f ca="1">IF(OR($C35="",$H35=0),"*",(($H35/128)*m1r.10)*43.56)</f>
        <v>*</v>
      </c>
      <c r="J35" s="150" t="str">
        <f t="shared" ca="1" si="5"/>
        <v>*</v>
      </c>
      <c r="K35" s="150" t="str">
        <f t="shared" ca="1" si="6"/>
        <v>*</v>
      </c>
      <c r="L35" s="161" t="str">
        <f t="shared" si="7"/>
        <v>0</v>
      </c>
      <c r="M35" s="150" t="str">
        <f t="shared" ca="1" si="8"/>
        <v>*</v>
      </c>
      <c r="N35" s="156" t="str">
        <f t="shared" si="9"/>
        <v>*</v>
      </c>
      <c r="O35" s="150" t="str">
        <f t="shared" ca="1" si="10"/>
        <v>*</v>
      </c>
      <c r="P35" s="156" t="str">
        <f t="shared" si="11"/>
        <v>*</v>
      </c>
      <c r="Q35" s="150" t="str">
        <f t="shared" ca="1" si="12"/>
        <v>*</v>
      </c>
      <c r="R35" s="156" t="str">
        <f t="shared" si="13"/>
        <v>*</v>
      </c>
      <c r="S35" s="150" t="str">
        <f t="shared" ca="1" si="14"/>
        <v>*</v>
      </c>
      <c r="T35" s="156" t="str">
        <f t="shared" si="15"/>
        <v>*</v>
      </c>
      <c r="U35" s="157" t="str">
        <f t="shared" ca="1" si="16"/>
        <v>*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s="138" customFormat="1" ht="20.100000000000001" customHeight="1" thickTop="1">
      <c r="C36" s="722" t="s">
        <v>123</v>
      </c>
      <c r="D36" s="722"/>
      <c r="E36" s="722"/>
      <c r="F36" s="93" t="str">
        <f t="shared" ref="F36:M36" si="18">IF(SUM(F26:F35)=0,"*",SUM(F26:F35))</f>
        <v>*</v>
      </c>
      <c r="G36" s="93" t="str">
        <f t="shared" si="18"/>
        <v>*</v>
      </c>
      <c r="H36" s="158" t="str">
        <f t="shared" ca="1" si="18"/>
        <v>*</v>
      </c>
      <c r="I36" s="158" t="str">
        <f t="shared" ca="1" si="18"/>
        <v>*</v>
      </c>
      <c r="J36" s="159" t="str">
        <f t="shared" ca="1" si="18"/>
        <v>*</v>
      </c>
      <c r="K36" s="159" t="str">
        <f t="shared" ca="1" si="18"/>
        <v>*</v>
      </c>
      <c r="L36" s="93" t="str">
        <f t="shared" si="18"/>
        <v>*</v>
      </c>
      <c r="M36" s="159" t="str">
        <f t="shared" ca="1" si="18"/>
        <v>*</v>
      </c>
      <c r="N36" s="298" t="str">
        <f t="shared" ref="N36:T36" si="19">IF(SUM(N26:N35)=0,"*",SUM(N26:N35))</f>
        <v>*</v>
      </c>
      <c r="O36" s="159" t="str">
        <f ca="1">IF(SUM(O26:O35)=0,"*",SUM(O26:O35))</f>
        <v>*</v>
      </c>
      <c r="P36" s="298" t="str">
        <f t="shared" si="19"/>
        <v>*</v>
      </c>
      <c r="Q36" s="159" t="str">
        <f ca="1">IF(SUM(Q26:Q35)=0,"*",SUM(Q26:Q35))</f>
        <v>*</v>
      </c>
      <c r="R36" s="298" t="str">
        <f t="shared" si="19"/>
        <v>*</v>
      </c>
      <c r="S36" s="159" t="str">
        <f ca="1">IF(SUM(S26:S35)=0,"*",SUM(S26:S35))</f>
        <v>*</v>
      </c>
      <c r="T36" s="298" t="str">
        <f t="shared" si="19"/>
        <v>*</v>
      </c>
      <c r="U36" s="159" t="str">
        <f ca="1">IF(SUM(U26:U35)=0,"*",SUM(U26:U35))</f>
        <v>*</v>
      </c>
      <c r="V36" s="17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s="186" customFormat="1" ht="9" customHeight="1" thickBo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66"/>
      <c r="W37" s="166"/>
      <c r="X37" s="166"/>
    </row>
    <row r="38" spans="1:32" s="17" customFormat="1" ht="19.5" customHeight="1" thickTop="1">
      <c r="C38" s="687" t="s">
        <v>67</v>
      </c>
      <c r="D38" s="688"/>
      <c r="E38" s="688"/>
      <c r="F38" s="695" t="s">
        <v>71</v>
      </c>
      <c r="G38" s="695" t="s">
        <v>83</v>
      </c>
      <c r="H38" s="695" t="s">
        <v>122</v>
      </c>
      <c r="I38" s="695" t="s">
        <v>84</v>
      </c>
      <c r="J38" s="695" t="s">
        <v>86</v>
      </c>
      <c r="K38" s="695" t="s">
        <v>85</v>
      </c>
      <c r="L38" s="679" t="s">
        <v>131</v>
      </c>
      <c r="M38" s="680"/>
      <c r="N38" s="679" t="s">
        <v>127</v>
      </c>
      <c r="O38" s="680"/>
      <c r="P38" s="679" t="s">
        <v>128</v>
      </c>
      <c r="Q38" s="680"/>
      <c r="R38" s="679" t="s">
        <v>129</v>
      </c>
      <c r="S38" s="680"/>
      <c r="T38" s="679" t="s">
        <v>130</v>
      </c>
      <c r="U38" s="714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s="17" customFormat="1" ht="20.100000000000001" customHeight="1" thickBot="1">
      <c r="C39" s="689"/>
      <c r="D39" s="690"/>
      <c r="E39" s="690"/>
      <c r="F39" s="696"/>
      <c r="G39" s="696"/>
      <c r="H39" s="696"/>
      <c r="I39" s="696"/>
      <c r="J39" s="696"/>
      <c r="K39" s="696"/>
      <c r="L39" s="681"/>
      <c r="M39" s="682"/>
      <c r="N39" s="681"/>
      <c r="O39" s="682"/>
      <c r="P39" s="681"/>
      <c r="Q39" s="682"/>
      <c r="R39" s="681"/>
      <c r="S39" s="682"/>
      <c r="T39" s="681"/>
      <c r="U39" s="71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17" customFormat="1" ht="20.100000000000001" customHeight="1">
      <c r="A40" s="70">
        <f t="shared" ref="A40:A45" si="20">IF(($C40=id.255),3,IF(($C40=id.256),4,IF(($C40=id.215),5,IF(($C40=id.200),7,IF(($C40=id.285),10,IF(($C40=id.210),12,IF(($C40=id.106),13,IF(($C40=id.310),14,IF(($C40=id.141),15,IF(($C40=id.360),16,IF(($C40=id.245),17,IF(($C40=id.225),18,IF(($C40=id.192),19,IF(($C40=id.196),20,IF(($C40=id.330),21,IF(($C40=id.675),22,IF(($C40=id.730),23,IF(($C40=id.855),24,IF(($C40=id.178),25,IF(($C40=id.242),26,IF(($C40=id.180),28,IF(($C40=id.185),29,IF(($C40=id.195),30,IF(($C40=id.240),31,IF(($C40=id.300),32,IF(($C40=id.177),33,IF(($C40=id.860),35,IF(($C40=id.840),36,IF(($C40=id.865),37,IF(($C40=id.800),38,IF(($C40=id.600),41,IF(($C40=id.610),42,IF(($C40=id.630),43,IF(($C40=id.620),44,IF(($C40=id.x1),48,IF(($C40=id.x2),49,"47"))))))))))))))))))))))))))))))))))))</f>
        <v>16</v>
      </c>
      <c r="B40" s="70"/>
      <c r="C40" s="716" t="str">
        <f>IF((m2.1=""),"",m2.1)</f>
        <v/>
      </c>
      <c r="D40" s="717"/>
      <c r="E40" s="717"/>
      <c r="F40" s="94" t="str">
        <f>IF(($C40=""),"*",IF((m2r.1=""),"0",((m2r.1*(total.sqft/1000))*((mix2.count)))))</f>
        <v>*</v>
      </c>
      <c r="G40" s="96" t="str">
        <f t="shared" ref="G40:G45" si="21">IF(($C40=""),"*",(F40/128))</f>
        <v>*</v>
      </c>
      <c r="H40" s="96" t="str">
        <f t="shared" ref="H40:H45" ca="1" si="22">IF(($C40=""),"*",(INDIRECT("'PRODUCT DATA'!$D"&amp;$A40&amp;"")*global.discount))</f>
        <v>*</v>
      </c>
      <c r="I40" s="95" t="str">
        <f ca="1">IF(OR($C40="",$H40=0),"*",(($H40/128)*m2r.1)*43.56)</f>
        <v>*</v>
      </c>
      <c r="J40" s="95" t="str">
        <f t="shared" ref="J40:J45" ca="1" si="23">IF(OR($C40="",$H40=0),"*",($H40*$G40/mix2.count))</f>
        <v>*</v>
      </c>
      <c r="K40" s="95" t="str">
        <f t="shared" ref="K40:K45" ca="1" si="24">IF(OR($C40="",$H40=0),"*",($H40*$G40))</f>
        <v>*</v>
      </c>
      <c r="L40" s="97" t="str">
        <f t="shared" ref="L40:L45" si="25">IF(($C40=""),"0",(ROUNDUP(($G40/5),0)))</f>
        <v>0</v>
      </c>
      <c r="M40" s="95" t="str">
        <f t="shared" ref="M40:M45" ca="1" si="26">IF(OR($C40="",$H40=0),"*",$H40*($L40*5))</f>
        <v>*</v>
      </c>
      <c r="N40" s="155" t="str">
        <f t="shared" ref="N40:N45" si="27">IF(($L40*5)&lt;15,"*",($G40/15))</f>
        <v>*</v>
      </c>
      <c r="O40" s="95" t="str">
        <f t="shared" ref="O40:O45" ca="1" si="28">IF(OR($N40="*",$H40=0),"*",($H40-$R$17)*($N40*15))</f>
        <v>*</v>
      </c>
      <c r="P40" s="155" t="str">
        <f t="shared" ref="P40:P45" si="29">IF(($L40*5)&lt;30,"*",($G40/30))</f>
        <v>*</v>
      </c>
      <c r="Q40" s="95" t="str">
        <f t="shared" ref="Q40:Q45" ca="1" si="30">IF(OR($P40="*",$H40=0),"*",($H40-$R$18)*($P40*30))</f>
        <v>*</v>
      </c>
      <c r="R40" s="155" t="str">
        <f t="shared" ref="R40:R45" si="31">IF(($L40*5)&lt;55,"*",($G40/55))</f>
        <v>*</v>
      </c>
      <c r="S40" s="95" t="str">
        <f t="shared" ref="S40:S45" ca="1" si="32">IF(OR($R40="*",$H40=0),"*",($H40-$R$19)*($R40*55))</f>
        <v>*</v>
      </c>
      <c r="T40" s="155" t="str">
        <f t="shared" ref="T40:T45" si="33">IF(($L40*5)&lt;270,"*",($G40/270))</f>
        <v>*</v>
      </c>
      <c r="U40" s="147" t="str">
        <f t="shared" ref="U40:U45" ca="1" si="34">IF(OR($T40="*",$H40=0),"*",($H40-$R$20)*($T40*270))</f>
        <v>*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s="17" customFormat="1" ht="20.100000000000001" customHeight="1">
      <c r="A41" s="70">
        <f t="shared" si="20"/>
        <v>16</v>
      </c>
      <c r="B41" s="70"/>
      <c r="C41" s="716" t="str">
        <f>IF((m2.2=""),"",m2.2)</f>
        <v/>
      </c>
      <c r="D41" s="717"/>
      <c r="E41" s="717"/>
      <c r="F41" s="94" t="str">
        <f>IF(($C41=""),"*",IF((m2r.2=""),"0",((m2r.2*(total.sqft/1000))*((mix2.count)))))</f>
        <v>*</v>
      </c>
      <c r="G41" s="96" t="str">
        <f t="shared" si="21"/>
        <v>*</v>
      </c>
      <c r="H41" s="96" t="str">
        <f t="shared" ca="1" si="22"/>
        <v>*</v>
      </c>
      <c r="I41" s="95" t="str">
        <f ca="1">IF(OR($C41="",$H41=0),"*",(($H41/128)*m2r.2)*43.56)</f>
        <v>*</v>
      </c>
      <c r="J41" s="95" t="str">
        <f t="shared" ca="1" si="23"/>
        <v>*</v>
      </c>
      <c r="K41" s="95" t="str">
        <f t="shared" ca="1" si="24"/>
        <v>*</v>
      </c>
      <c r="L41" s="97" t="str">
        <f t="shared" si="25"/>
        <v>0</v>
      </c>
      <c r="M41" s="95" t="str">
        <f t="shared" ca="1" si="26"/>
        <v>*</v>
      </c>
      <c r="N41" s="155" t="str">
        <f t="shared" si="27"/>
        <v>*</v>
      </c>
      <c r="O41" s="95" t="str">
        <f t="shared" ca="1" si="28"/>
        <v>*</v>
      </c>
      <c r="P41" s="155" t="str">
        <f t="shared" si="29"/>
        <v>*</v>
      </c>
      <c r="Q41" s="95" t="str">
        <f t="shared" ca="1" si="30"/>
        <v>*</v>
      </c>
      <c r="R41" s="155" t="str">
        <f t="shared" si="31"/>
        <v>*</v>
      </c>
      <c r="S41" s="95" t="str">
        <f t="shared" ca="1" si="32"/>
        <v>*</v>
      </c>
      <c r="T41" s="155" t="str">
        <f t="shared" si="33"/>
        <v>*</v>
      </c>
      <c r="U41" s="147" t="str">
        <f t="shared" ca="1" si="34"/>
        <v>*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17" customFormat="1" ht="20.100000000000001" customHeight="1">
      <c r="A42" s="70">
        <f t="shared" si="20"/>
        <v>16</v>
      </c>
      <c r="B42" s="70"/>
      <c r="C42" s="716" t="str">
        <f>IF((m2.3=""),"",m2.3)</f>
        <v/>
      </c>
      <c r="D42" s="717"/>
      <c r="E42" s="717"/>
      <c r="F42" s="94" t="str">
        <f>IF(($C42=""),"*",IF((m2r.3=""),"0",((m2r.3*(total.sqft/1000))*((mix2.count)))))</f>
        <v>*</v>
      </c>
      <c r="G42" s="96" t="str">
        <f t="shared" si="21"/>
        <v>*</v>
      </c>
      <c r="H42" s="96" t="str">
        <f t="shared" ca="1" si="22"/>
        <v>*</v>
      </c>
      <c r="I42" s="95" t="str">
        <f ca="1">IF(OR($C42="",$H42=0),"*",(($H42/128)*m2r.3)*43.56)</f>
        <v>*</v>
      </c>
      <c r="J42" s="95" t="str">
        <f t="shared" ca="1" si="23"/>
        <v>*</v>
      </c>
      <c r="K42" s="95" t="str">
        <f t="shared" ca="1" si="24"/>
        <v>*</v>
      </c>
      <c r="L42" s="97" t="str">
        <f t="shared" si="25"/>
        <v>0</v>
      </c>
      <c r="M42" s="95" t="str">
        <f t="shared" ca="1" si="26"/>
        <v>*</v>
      </c>
      <c r="N42" s="155" t="str">
        <f t="shared" si="27"/>
        <v>*</v>
      </c>
      <c r="O42" s="95" t="str">
        <f t="shared" ca="1" si="28"/>
        <v>*</v>
      </c>
      <c r="P42" s="155" t="str">
        <f t="shared" si="29"/>
        <v>*</v>
      </c>
      <c r="Q42" s="95" t="str">
        <f t="shared" ca="1" si="30"/>
        <v>*</v>
      </c>
      <c r="R42" s="155" t="str">
        <f t="shared" si="31"/>
        <v>*</v>
      </c>
      <c r="S42" s="95" t="str">
        <f t="shared" ca="1" si="32"/>
        <v>*</v>
      </c>
      <c r="T42" s="155" t="str">
        <f t="shared" si="33"/>
        <v>*</v>
      </c>
      <c r="U42" s="147" t="str">
        <f t="shared" ca="1" si="34"/>
        <v>*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17" customFormat="1" ht="20.100000000000001" customHeight="1">
      <c r="A43" s="70">
        <f t="shared" si="20"/>
        <v>16</v>
      </c>
      <c r="B43" s="70"/>
      <c r="C43" s="716" t="str">
        <f>IF((m2.4=""),"",m2.4)</f>
        <v/>
      </c>
      <c r="D43" s="717"/>
      <c r="E43" s="717"/>
      <c r="F43" s="94" t="str">
        <f>IF(($C43=""),"*",IF((m2r.4=""),"0",((m2r.4*(total.sqft/1000))*((mix2.count)))))</f>
        <v>*</v>
      </c>
      <c r="G43" s="96" t="str">
        <f t="shared" si="21"/>
        <v>*</v>
      </c>
      <c r="H43" s="96" t="str">
        <f t="shared" ca="1" si="22"/>
        <v>*</v>
      </c>
      <c r="I43" s="95" t="str">
        <f ca="1">IF(OR($C43="",$H43=0),"*",(($H43/128)*m2r.4)*43.56)</f>
        <v>*</v>
      </c>
      <c r="J43" s="95" t="str">
        <f t="shared" ca="1" si="23"/>
        <v>*</v>
      </c>
      <c r="K43" s="95" t="str">
        <f t="shared" ca="1" si="24"/>
        <v>*</v>
      </c>
      <c r="L43" s="97" t="str">
        <f t="shared" si="25"/>
        <v>0</v>
      </c>
      <c r="M43" s="95" t="str">
        <f t="shared" ca="1" si="26"/>
        <v>*</v>
      </c>
      <c r="N43" s="155" t="str">
        <f t="shared" si="27"/>
        <v>*</v>
      </c>
      <c r="O43" s="95" t="str">
        <f t="shared" ca="1" si="28"/>
        <v>*</v>
      </c>
      <c r="P43" s="155" t="str">
        <f t="shared" si="29"/>
        <v>*</v>
      </c>
      <c r="Q43" s="95" t="str">
        <f t="shared" ca="1" si="30"/>
        <v>*</v>
      </c>
      <c r="R43" s="155" t="str">
        <f t="shared" si="31"/>
        <v>*</v>
      </c>
      <c r="S43" s="95" t="str">
        <f t="shared" ca="1" si="32"/>
        <v>*</v>
      </c>
      <c r="T43" s="155" t="str">
        <f t="shared" si="33"/>
        <v>*</v>
      </c>
      <c r="U43" s="147" t="str">
        <f t="shared" ca="1" si="34"/>
        <v>*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s="17" customFormat="1" ht="20.100000000000001" customHeight="1">
      <c r="A44" s="70">
        <f t="shared" si="20"/>
        <v>16</v>
      </c>
      <c r="B44" s="70"/>
      <c r="C44" s="716" t="str">
        <f>IF((m2.5=""),"",m2.5)</f>
        <v/>
      </c>
      <c r="D44" s="717"/>
      <c r="E44" s="717"/>
      <c r="F44" s="94" t="str">
        <f>IF(($C44=""),"*",IF((m2r.5=""),"0",((m2r.5*(total.sqft/1000))*((mix2.count)))))</f>
        <v>*</v>
      </c>
      <c r="G44" s="96" t="str">
        <f t="shared" si="21"/>
        <v>*</v>
      </c>
      <c r="H44" s="96" t="str">
        <f t="shared" ca="1" si="22"/>
        <v>*</v>
      </c>
      <c r="I44" s="95" t="str">
        <f ca="1">IF(OR($C44="",$H44=0),"*",(($H44/128)*m2r.5)*43.56)</f>
        <v>*</v>
      </c>
      <c r="J44" s="95" t="str">
        <f t="shared" ca="1" si="23"/>
        <v>*</v>
      </c>
      <c r="K44" s="95" t="str">
        <f t="shared" ca="1" si="24"/>
        <v>*</v>
      </c>
      <c r="L44" s="97" t="str">
        <f t="shared" si="25"/>
        <v>0</v>
      </c>
      <c r="M44" s="95" t="str">
        <f t="shared" ca="1" si="26"/>
        <v>*</v>
      </c>
      <c r="N44" s="155" t="str">
        <f t="shared" si="27"/>
        <v>*</v>
      </c>
      <c r="O44" s="95" t="str">
        <f t="shared" ca="1" si="28"/>
        <v>*</v>
      </c>
      <c r="P44" s="155" t="str">
        <f t="shared" si="29"/>
        <v>*</v>
      </c>
      <c r="Q44" s="95" t="str">
        <f t="shared" ca="1" si="30"/>
        <v>*</v>
      </c>
      <c r="R44" s="155" t="str">
        <f t="shared" si="31"/>
        <v>*</v>
      </c>
      <c r="S44" s="95" t="str">
        <f t="shared" ca="1" si="32"/>
        <v>*</v>
      </c>
      <c r="T44" s="155" t="str">
        <f t="shared" si="33"/>
        <v>*</v>
      </c>
      <c r="U44" s="147" t="str">
        <f t="shared" ca="1" si="34"/>
        <v>*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s="17" customFormat="1" ht="20.100000000000001" customHeight="1" thickBot="1">
      <c r="A45" s="70">
        <f t="shared" si="20"/>
        <v>16</v>
      </c>
      <c r="B45" s="70"/>
      <c r="C45" s="720" t="str">
        <f>IF((m2.6=""),"",m2.6)</f>
        <v/>
      </c>
      <c r="D45" s="721"/>
      <c r="E45" s="721"/>
      <c r="F45" s="148" t="str">
        <f>IF(($C45=""),"*",IF((m2r.6=""),"0",((m2r.6*(total.sqft/1000))*((mix2.count)))))</f>
        <v>*</v>
      </c>
      <c r="G45" s="149" t="str">
        <f t="shared" si="21"/>
        <v>*</v>
      </c>
      <c r="H45" s="149" t="str">
        <f t="shared" ca="1" si="22"/>
        <v>*</v>
      </c>
      <c r="I45" s="150" t="str">
        <f ca="1">IF(OR($C45="",$H45=0),"*",(($H45/128)*m2r.6)*43.56)</f>
        <v>*</v>
      </c>
      <c r="J45" s="150" t="str">
        <f t="shared" ca="1" si="23"/>
        <v>*</v>
      </c>
      <c r="K45" s="150" t="str">
        <f t="shared" ca="1" si="24"/>
        <v>*</v>
      </c>
      <c r="L45" s="151" t="str">
        <f t="shared" si="25"/>
        <v>0</v>
      </c>
      <c r="M45" s="150" t="str">
        <f t="shared" ca="1" si="26"/>
        <v>*</v>
      </c>
      <c r="N45" s="156" t="str">
        <f t="shared" si="27"/>
        <v>*</v>
      </c>
      <c r="O45" s="150" t="str">
        <f t="shared" ca="1" si="28"/>
        <v>*</v>
      </c>
      <c r="P45" s="156" t="str">
        <f t="shared" si="29"/>
        <v>*</v>
      </c>
      <c r="Q45" s="150" t="str">
        <f t="shared" ca="1" si="30"/>
        <v>*</v>
      </c>
      <c r="R45" s="156" t="str">
        <f t="shared" si="31"/>
        <v>*</v>
      </c>
      <c r="S45" s="150" t="str">
        <f t="shared" ca="1" si="32"/>
        <v>*</v>
      </c>
      <c r="T45" s="156" t="str">
        <f t="shared" si="33"/>
        <v>*</v>
      </c>
      <c r="U45" s="157" t="str">
        <f t="shared" ca="1" si="34"/>
        <v>*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s="138" customFormat="1" ht="20.100000000000001" customHeight="1" thickTop="1">
      <c r="C46" s="722" t="s">
        <v>94</v>
      </c>
      <c r="D46" s="722"/>
      <c r="E46" s="722"/>
      <c r="F46" s="93" t="str">
        <f t="shared" ref="F46:U46" si="35">IF(SUM(F40:F45)=0,"*",SUM(F40:F45))</f>
        <v>*</v>
      </c>
      <c r="G46" s="93" t="str">
        <f t="shared" si="35"/>
        <v>*</v>
      </c>
      <c r="H46" s="158" t="str">
        <f t="shared" ca="1" si="35"/>
        <v>*</v>
      </c>
      <c r="I46" s="158" t="str">
        <f t="shared" ca="1" si="35"/>
        <v>*</v>
      </c>
      <c r="J46" s="159" t="str">
        <f t="shared" ca="1" si="35"/>
        <v>*</v>
      </c>
      <c r="K46" s="159" t="str">
        <f t="shared" ca="1" si="35"/>
        <v>*</v>
      </c>
      <c r="L46" s="93" t="str">
        <f t="shared" si="35"/>
        <v>*</v>
      </c>
      <c r="M46" s="159" t="str">
        <f t="shared" ca="1" si="35"/>
        <v>*</v>
      </c>
      <c r="N46" s="298" t="str">
        <f t="shared" ref="N46:T46" si="36">IF(SUM(N40:N45)=0,"*",SUM(N40:N45))</f>
        <v>*</v>
      </c>
      <c r="O46" s="159" t="str">
        <f t="shared" ca="1" si="35"/>
        <v>*</v>
      </c>
      <c r="P46" s="298" t="str">
        <f t="shared" si="36"/>
        <v>*</v>
      </c>
      <c r="Q46" s="159" t="str">
        <f t="shared" ca="1" si="35"/>
        <v>*</v>
      </c>
      <c r="R46" s="298" t="str">
        <f t="shared" si="36"/>
        <v>*</v>
      </c>
      <c r="S46" s="159" t="str">
        <f t="shared" ca="1" si="35"/>
        <v>*</v>
      </c>
      <c r="T46" s="298" t="str">
        <f t="shared" si="36"/>
        <v>*</v>
      </c>
      <c r="U46" s="159" t="str">
        <f t="shared" ca="1" si="35"/>
        <v>*</v>
      </c>
      <c r="V46" s="17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s="186" customFormat="1" ht="8.25" customHeight="1" thickBo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66"/>
      <c r="W47" s="166"/>
      <c r="X47" s="166"/>
    </row>
    <row r="48" spans="1:32" s="17" customFormat="1" ht="19.5" customHeight="1" thickTop="1">
      <c r="C48" s="687" t="s">
        <v>101</v>
      </c>
      <c r="D48" s="688"/>
      <c r="E48" s="688"/>
      <c r="F48" s="695" t="s">
        <v>71</v>
      </c>
      <c r="G48" s="695" t="s">
        <v>83</v>
      </c>
      <c r="H48" s="695" t="s">
        <v>122</v>
      </c>
      <c r="I48" s="695" t="s">
        <v>84</v>
      </c>
      <c r="J48" s="695" t="s">
        <v>86</v>
      </c>
      <c r="K48" s="695" t="s">
        <v>85</v>
      </c>
      <c r="L48" s="679" t="s">
        <v>131</v>
      </c>
      <c r="M48" s="680"/>
      <c r="N48" s="679" t="s">
        <v>127</v>
      </c>
      <c r="O48" s="680"/>
      <c r="P48" s="679" t="s">
        <v>128</v>
      </c>
      <c r="Q48" s="680"/>
      <c r="R48" s="679" t="s">
        <v>129</v>
      </c>
      <c r="S48" s="680"/>
      <c r="T48" s="679" t="s">
        <v>130</v>
      </c>
      <c r="U48" s="714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s="17" customFormat="1" ht="20.100000000000001" customHeight="1" thickBot="1">
      <c r="C49" s="689"/>
      <c r="D49" s="690"/>
      <c r="E49" s="690"/>
      <c r="F49" s="696"/>
      <c r="G49" s="696"/>
      <c r="H49" s="696"/>
      <c r="I49" s="696"/>
      <c r="J49" s="696"/>
      <c r="K49" s="696"/>
      <c r="L49" s="681"/>
      <c r="M49" s="682"/>
      <c r="N49" s="681"/>
      <c r="O49" s="682"/>
      <c r="P49" s="681"/>
      <c r="Q49" s="682"/>
      <c r="R49" s="681"/>
      <c r="S49" s="682"/>
      <c r="T49" s="681"/>
      <c r="U49" s="71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s="17" customFormat="1" ht="20.100000000000001" customHeight="1">
      <c r="A50" s="70">
        <f t="shared" ref="A50:A55" si="37">IF(($C50=id.255),3,IF(($C50=id.256),4,IF(($C50=id.215),5,IF(($C50=id.200),7,IF(($C50=id.285),10,IF(($C50=id.210),12,IF(($C50=id.106),13,IF(($C50=id.310),14,IF(($C50=id.141),15,IF(($C50=id.360),16,IF(($C50=id.245),17,IF(($C50=id.225),18,IF(($C50=id.192),19,IF(($C50=id.196),20,IF(($C50=id.330),21,IF(($C50=id.675),22,IF(($C50=id.730),23,IF(($C50=id.855),24,IF(($C50=id.178),25,IF(($C50=id.242),26,IF(($C50=id.180),28,IF(($C50=id.185),29,IF(($C50=id.195),30,IF(($C50=id.240),31,IF(($C50=id.300),32,IF(($C50=id.177),33,IF(($C50=id.860),35,IF(($C50=id.840),36,IF(($C50=id.865),37,IF(($C50=id.800),38,IF(($C50=id.600),41,IF(($C50=id.610),42,IF(($C50=id.630),43,IF(($C50=id.620),44,IF(($C50=id.x1),48,IF(($C50=id.x2),49,"47"))))))))))))))))))))))))))))))))))))</f>
        <v>16</v>
      </c>
      <c r="B50" s="70"/>
      <c r="C50" s="716" t="str">
        <f>IF((m3.1=""),"",m3.1)</f>
        <v/>
      </c>
      <c r="D50" s="717"/>
      <c r="E50" s="717"/>
      <c r="F50" s="94" t="str">
        <f>IF(($C50=""),"*",IF((m3r.1=""),"0",((m3r.1*(total.sqft/1000))*((mix3.count)))))</f>
        <v>*</v>
      </c>
      <c r="G50" s="96" t="str">
        <f t="shared" ref="G50:G55" si="38">IF(($C50=""),"*",(F50/128))</f>
        <v>*</v>
      </c>
      <c r="H50" s="96" t="str">
        <f t="shared" ref="H50:H55" ca="1" si="39">IF(($C50=""),"*",(INDIRECT("'PRODUCT DATA'!$D"&amp;$A50&amp;"")*global.discount))</f>
        <v>*</v>
      </c>
      <c r="I50" s="95" t="str">
        <f ca="1">IF(OR($C50="",$H50=0),"*",(($H50/128)*m3r.1)*43.56)</f>
        <v>*</v>
      </c>
      <c r="J50" s="95" t="str">
        <f t="shared" ref="J50:J55" ca="1" si="40">IF(OR($C50="",$H50=0),"*",($H50*$G50/mix3.count))</f>
        <v>*</v>
      </c>
      <c r="K50" s="95" t="str">
        <f t="shared" ref="K50:K55" ca="1" si="41">IF(OR($C50="",$H50=0),"*",($H50*$G50))</f>
        <v>*</v>
      </c>
      <c r="L50" s="97" t="str">
        <f t="shared" ref="L50:L55" si="42">IF(($C50=""),"0",(ROUNDUP(($G50/5),0)))</f>
        <v>0</v>
      </c>
      <c r="M50" s="95" t="str">
        <f t="shared" ref="M50:M55" ca="1" si="43">IF(OR($C50="",$H50=0),"*",$H50*($L50*5))</f>
        <v>*</v>
      </c>
      <c r="N50" s="155" t="str">
        <f t="shared" ref="N50:N55" si="44">IF(($L50*5)&lt;15,"*",($G50/15))</f>
        <v>*</v>
      </c>
      <c r="O50" s="95" t="str">
        <f t="shared" ref="O50:O55" ca="1" si="45">IF(OR($N50="*",$H50=0),"*",($H50-$R$17)*($N50*15))</f>
        <v>*</v>
      </c>
      <c r="P50" s="155" t="str">
        <f t="shared" ref="P50:P55" si="46">IF(($L50*5)&lt;30,"*",($G50/30))</f>
        <v>*</v>
      </c>
      <c r="Q50" s="95" t="str">
        <f t="shared" ref="Q50:Q55" ca="1" si="47">IF(OR($P50="*",$H50=0),"*",($H50-$R$18)*($P50*30))</f>
        <v>*</v>
      </c>
      <c r="R50" s="155" t="str">
        <f t="shared" ref="R50:R55" si="48">IF(($L50*5)&lt;55,"*",($G50/55))</f>
        <v>*</v>
      </c>
      <c r="S50" s="95" t="str">
        <f t="shared" ref="S50:S55" ca="1" si="49">IF(OR($R50="*",$H50=0),"*",($H50-$R$19)*($R50*55))</f>
        <v>*</v>
      </c>
      <c r="T50" s="155" t="str">
        <f t="shared" ref="T50:T55" si="50">IF(($L50*5)&lt;270,"*",($G50/270))</f>
        <v>*</v>
      </c>
      <c r="U50" s="147" t="str">
        <f t="shared" ref="U50:U55" ca="1" si="51">IF(OR($T50="*",$H50=0),"*",($H50-$R$20)*($T50*270))</f>
        <v>*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s="17" customFormat="1" ht="20.100000000000001" customHeight="1">
      <c r="A51" s="70">
        <f t="shared" si="37"/>
        <v>16</v>
      </c>
      <c r="B51" s="70"/>
      <c r="C51" s="716" t="str">
        <f>IF((m3.2=""),"",m3.2)</f>
        <v/>
      </c>
      <c r="D51" s="717"/>
      <c r="E51" s="717"/>
      <c r="F51" s="94" t="str">
        <f>IF(($C51=""),"*",IF((m3r.2=""),"0",((m3r.2*(total.sqft/1000))*((mix3.count)))))</f>
        <v>*</v>
      </c>
      <c r="G51" s="96" t="str">
        <f t="shared" si="38"/>
        <v>*</v>
      </c>
      <c r="H51" s="96" t="str">
        <f t="shared" ca="1" si="39"/>
        <v>*</v>
      </c>
      <c r="I51" s="95" t="str">
        <f ca="1">IF(OR($C51="",$H51=0),"*",(($H51/128)*m3r.2)*43.56)</f>
        <v>*</v>
      </c>
      <c r="J51" s="95" t="str">
        <f t="shared" ca="1" si="40"/>
        <v>*</v>
      </c>
      <c r="K51" s="95" t="str">
        <f t="shared" ca="1" si="41"/>
        <v>*</v>
      </c>
      <c r="L51" s="97" t="str">
        <f t="shared" si="42"/>
        <v>0</v>
      </c>
      <c r="M51" s="95" t="str">
        <f t="shared" ca="1" si="43"/>
        <v>*</v>
      </c>
      <c r="N51" s="155" t="str">
        <f t="shared" si="44"/>
        <v>*</v>
      </c>
      <c r="O51" s="95" t="str">
        <f t="shared" ca="1" si="45"/>
        <v>*</v>
      </c>
      <c r="P51" s="155" t="str">
        <f t="shared" si="46"/>
        <v>*</v>
      </c>
      <c r="Q51" s="95" t="str">
        <f t="shared" ca="1" si="47"/>
        <v>*</v>
      </c>
      <c r="R51" s="155" t="str">
        <f t="shared" si="48"/>
        <v>*</v>
      </c>
      <c r="S51" s="95" t="str">
        <f t="shared" ca="1" si="49"/>
        <v>*</v>
      </c>
      <c r="T51" s="155" t="str">
        <f t="shared" si="50"/>
        <v>*</v>
      </c>
      <c r="U51" s="147" t="str">
        <f t="shared" ca="1" si="51"/>
        <v>*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s="17" customFormat="1" ht="20.100000000000001" customHeight="1">
      <c r="A52" s="70">
        <f t="shared" si="37"/>
        <v>16</v>
      </c>
      <c r="B52" s="70"/>
      <c r="C52" s="716" t="str">
        <f>IF((m3.3=""),"",m3.3)</f>
        <v/>
      </c>
      <c r="D52" s="717"/>
      <c r="E52" s="717"/>
      <c r="F52" s="94" t="str">
        <f>IF(($C52=""),"*",IF((m3r.3=""),"0",((m3r.3*(total.sqft/1000))*((mix3.count)))))</f>
        <v>*</v>
      </c>
      <c r="G52" s="96" t="str">
        <f t="shared" si="38"/>
        <v>*</v>
      </c>
      <c r="H52" s="96" t="str">
        <f t="shared" ca="1" si="39"/>
        <v>*</v>
      </c>
      <c r="I52" s="95" t="str">
        <f ca="1">IF(OR($C52="",$H52=0),"*",(($H52/128)*m3r.3)*43.56)</f>
        <v>*</v>
      </c>
      <c r="J52" s="95" t="str">
        <f t="shared" ca="1" si="40"/>
        <v>*</v>
      </c>
      <c r="K52" s="95" t="str">
        <f t="shared" ca="1" si="41"/>
        <v>*</v>
      </c>
      <c r="L52" s="97" t="str">
        <f t="shared" si="42"/>
        <v>0</v>
      </c>
      <c r="M52" s="95" t="str">
        <f t="shared" ca="1" si="43"/>
        <v>*</v>
      </c>
      <c r="N52" s="155" t="str">
        <f t="shared" si="44"/>
        <v>*</v>
      </c>
      <c r="O52" s="95" t="str">
        <f t="shared" ca="1" si="45"/>
        <v>*</v>
      </c>
      <c r="P52" s="155" t="str">
        <f t="shared" si="46"/>
        <v>*</v>
      </c>
      <c r="Q52" s="95" t="str">
        <f t="shared" ca="1" si="47"/>
        <v>*</v>
      </c>
      <c r="R52" s="155" t="str">
        <f t="shared" si="48"/>
        <v>*</v>
      </c>
      <c r="S52" s="95" t="str">
        <f t="shared" ca="1" si="49"/>
        <v>*</v>
      </c>
      <c r="T52" s="155" t="str">
        <f t="shared" si="50"/>
        <v>*</v>
      </c>
      <c r="U52" s="147" t="str">
        <f t="shared" ca="1" si="51"/>
        <v>*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s="17" customFormat="1" ht="20.100000000000001" customHeight="1">
      <c r="A53" s="70">
        <f t="shared" si="37"/>
        <v>16</v>
      </c>
      <c r="B53" s="70"/>
      <c r="C53" s="716" t="str">
        <f>IF((m3.4=""),"",m3.4)</f>
        <v/>
      </c>
      <c r="D53" s="717"/>
      <c r="E53" s="717"/>
      <c r="F53" s="94" t="str">
        <f>IF(($C53=""),"*",IF((m3r.4=""),"0",((m3r.4*(total.sqft/1000))*((mix3.count)))))</f>
        <v>*</v>
      </c>
      <c r="G53" s="96" t="str">
        <f t="shared" si="38"/>
        <v>*</v>
      </c>
      <c r="H53" s="96" t="str">
        <f t="shared" ca="1" si="39"/>
        <v>*</v>
      </c>
      <c r="I53" s="95" t="str">
        <f ca="1">IF(OR($C53="",$H53=0),"*",(($H53/128)*m3r.4)*43.56)</f>
        <v>*</v>
      </c>
      <c r="J53" s="95" t="str">
        <f t="shared" ca="1" si="40"/>
        <v>*</v>
      </c>
      <c r="K53" s="95" t="str">
        <f t="shared" ca="1" si="41"/>
        <v>*</v>
      </c>
      <c r="L53" s="97" t="str">
        <f t="shared" si="42"/>
        <v>0</v>
      </c>
      <c r="M53" s="95" t="str">
        <f t="shared" ca="1" si="43"/>
        <v>*</v>
      </c>
      <c r="N53" s="155" t="str">
        <f t="shared" si="44"/>
        <v>*</v>
      </c>
      <c r="O53" s="95" t="str">
        <f t="shared" ca="1" si="45"/>
        <v>*</v>
      </c>
      <c r="P53" s="155" t="str">
        <f t="shared" si="46"/>
        <v>*</v>
      </c>
      <c r="Q53" s="95" t="str">
        <f t="shared" ca="1" si="47"/>
        <v>*</v>
      </c>
      <c r="R53" s="155" t="str">
        <f t="shared" si="48"/>
        <v>*</v>
      </c>
      <c r="S53" s="95" t="str">
        <f t="shared" ca="1" si="49"/>
        <v>*</v>
      </c>
      <c r="T53" s="155" t="str">
        <f t="shared" si="50"/>
        <v>*</v>
      </c>
      <c r="U53" s="147" t="str">
        <f t="shared" ca="1" si="51"/>
        <v>*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s="17" customFormat="1" ht="20.100000000000001" customHeight="1">
      <c r="A54" s="70">
        <f t="shared" si="37"/>
        <v>16</v>
      </c>
      <c r="B54" s="70"/>
      <c r="C54" s="716" t="str">
        <f>IF((m3.5=""),"",m3.5)</f>
        <v/>
      </c>
      <c r="D54" s="717"/>
      <c r="E54" s="717"/>
      <c r="F54" s="94" t="str">
        <f>IF(($C54=""),"*",IF((m3r.5=""),"0",((m3r.5*(total.sqft/1000))*((mix3.count)))))</f>
        <v>*</v>
      </c>
      <c r="G54" s="96" t="str">
        <f t="shared" si="38"/>
        <v>*</v>
      </c>
      <c r="H54" s="96" t="str">
        <f t="shared" ca="1" si="39"/>
        <v>*</v>
      </c>
      <c r="I54" s="95" t="str">
        <f ca="1">IF(OR($C54="",$H54=0),"*",(($H54/128)*m3r.5)*43.56)</f>
        <v>*</v>
      </c>
      <c r="J54" s="95" t="str">
        <f t="shared" ca="1" si="40"/>
        <v>*</v>
      </c>
      <c r="K54" s="95" t="str">
        <f t="shared" ca="1" si="41"/>
        <v>*</v>
      </c>
      <c r="L54" s="97" t="str">
        <f t="shared" si="42"/>
        <v>0</v>
      </c>
      <c r="M54" s="95" t="str">
        <f t="shared" ca="1" si="43"/>
        <v>*</v>
      </c>
      <c r="N54" s="155" t="str">
        <f t="shared" si="44"/>
        <v>*</v>
      </c>
      <c r="O54" s="95" t="str">
        <f t="shared" ca="1" si="45"/>
        <v>*</v>
      </c>
      <c r="P54" s="155" t="str">
        <f t="shared" si="46"/>
        <v>*</v>
      </c>
      <c r="Q54" s="95" t="str">
        <f t="shared" ca="1" si="47"/>
        <v>*</v>
      </c>
      <c r="R54" s="155" t="str">
        <f t="shared" si="48"/>
        <v>*</v>
      </c>
      <c r="S54" s="95" t="str">
        <f t="shared" ca="1" si="49"/>
        <v>*</v>
      </c>
      <c r="T54" s="155" t="str">
        <f t="shared" si="50"/>
        <v>*</v>
      </c>
      <c r="U54" s="147" t="str">
        <f t="shared" ca="1" si="51"/>
        <v>*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s="17" customFormat="1" ht="20.100000000000001" customHeight="1" thickBot="1">
      <c r="A55" s="70">
        <f t="shared" si="37"/>
        <v>16</v>
      </c>
      <c r="B55" s="70"/>
      <c r="C55" s="720" t="str">
        <f>IF((m3.6=""),"",m3.6)</f>
        <v/>
      </c>
      <c r="D55" s="721"/>
      <c r="E55" s="721"/>
      <c r="F55" s="148" t="str">
        <f>IF(($C55=""),"*",IF((m3r.6=""),"0",((m3r.6*(total.sqft/1000))*((mix3.count)))))</f>
        <v>*</v>
      </c>
      <c r="G55" s="149" t="str">
        <f t="shared" si="38"/>
        <v>*</v>
      </c>
      <c r="H55" s="149" t="str">
        <f t="shared" ca="1" si="39"/>
        <v>*</v>
      </c>
      <c r="I55" s="150" t="str">
        <f ca="1">IF(OR($C55="",$H55=0),"*",(($H55/128)*m3r.6)*43.56)</f>
        <v>*</v>
      </c>
      <c r="J55" s="150" t="str">
        <f t="shared" ca="1" si="40"/>
        <v>*</v>
      </c>
      <c r="K55" s="150" t="str">
        <f t="shared" ca="1" si="41"/>
        <v>*</v>
      </c>
      <c r="L55" s="151" t="str">
        <f t="shared" si="42"/>
        <v>0</v>
      </c>
      <c r="M55" s="150" t="str">
        <f t="shared" ca="1" si="43"/>
        <v>*</v>
      </c>
      <c r="N55" s="156" t="str">
        <f t="shared" si="44"/>
        <v>*</v>
      </c>
      <c r="O55" s="150" t="str">
        <f t="shared" ca="1" si="45"/>
        <v>*</v>
      </c>
      <c r="P55" s="156" t="str">
        <f t="shared" si="46"/>
        <v>*</v>
      </c>
      <c r="Q55" s="150" t="str">
        <f t="shared" ca="1" si="47"/>
        <v>*</v>
      </c>
      <c r="R55" s="156" t="str">
        <f t="shared" si="48"/>
        <v>*</v>
      </c>
      <c r="S55" s="150" t="str">
        <f t="shared" ca="1" si="49"/>
        <v>*</v>
      </c>
      <c r="T55" s="156" t="str">
        <f t="shared" si="50"/>
        <v>*</v>
      </c>
      <c r="U55" s="157" t="str">
        <f t="shared" ca="1" si="51"/>
        <v>*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138" customFormat="1" ht="20.100000000000001" customHeight="1" thickTop="1">
      <c r="C56" s="722" t="s">
        <v>94</v>
      </c>
      <c r="D56" s="722"/>
      <c r="E56" s="722"/>
      <c r="F56" s="93" t="str">
        <f t="shared" ref="F56:U56" si="52">IF(SUM(F50:F55)=0,"*",SUM(F50:F55))</f>
        <v>*</v>
      </c>
      <c r="G56" s="93" t="str">
        <f t="shared" si="52"/>
        <v>*</v>
      </c>
      <c r="H56" s="158" t="str">
        <f t="shared" ca="1" si="52"/>
        <v>*</v>
      </c>
      <c r="I56" s="158" t="str">
        <f t="shared" ca="1" si="52"/>
        <v>*</v>
      </c>
      <c r="J56" s="159" t="str">
        <f t="shared" ca="1" si="52"/>
        <v>*</v>
      </c>
      <c r="K56" s="159" t="str">
        <f t="shared" ca="1" si="52"/>
        <v>*</v>
      </c>
      <c r="L56" s="93" t="str">
        <f t="shared" si="52"/>
        <v>*</v>
      </c>
      <c r="M56" s="159" t="str">
        <f t="shared" ca="1" si="52"/>
        <v>*</v>
      </c>
      <c r="N56" s="298" t="str">
        <f t="shared" ref="N56:T56" si="53">IF(SUM(N50:N55)=0,"*",SUM(N50:N55))</f>
        <v>*</v>
      </c>
      <c r="O56" s="298" t="s">
        <v>199</v>
      </c>
      <c r="P56" s="298" t="str">
        <f t="shared" si="53"/>
        <v>*</v>
      </c>
      <c r="Q56" s="298" t="s">
        <v>199</v>
      </c>
      <c r="R56" s="298" t="str">
        <f t="shared" si="53"/>
        <v>*</v>
      </c>
      <c r="S56" s="159" t="str">
        <f t="shared" ca="1" si="52"/>
        <v>*</v>
      </c>
      <c r="T56" s="298" t="str">
        <f t="shared" si="53"/>
        <v>*</v>
      </c>
      <c r="U56" s="159" t="str">
        <f t="shared" ca="1" si="52"/>
        <v>*</v>
      </c>
      <c r="V56" s="17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s="186" customFormat="1" ht="9" customHeight="1" thickBo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66"/>
      <c r="W57" s="166"/>
      <c r="X57" s="166"/>
    </row>
    <row r="58" spans="1:32" s="17" customFormat="1" ht="19.5" customHeight="1" thickTop="1">
      <c r="C58" s="687" t="s">
        <v>109</v>
      </c>
      <c r="D58" s="688"/>
      <c r="E58" s="688"/>
      <c r="F58" s="695" t="s">
        <v>71</v>
      </c>
      <c r="G58" s="695" t="s">
        <v>83</v>
      </c>
      <c r="H58" s="695" t="s">
        <v>122</v>
      </c>
      <c r="I58" s="695" t="s">
        <v>84</v>
      </c>
      <c r="J58" s="695" t="s">
        <v>86</v>
      </c>
      <c r="K58" s="695" t="s">
        <v>85</v>
      </c>
      <c r="L58" s="679" t="s">
        <v>131</v>
      </c>
      <c r="M58" s="680"/>
      <c r="N58" s="679" t="s">
        <v>127</v>
      </c>
      <c r="O58" s="680"/>
      <c r="P58" s="679" t="s">
        <v>128</v>
      </c>
      <c r="Q58" s="680"/>
      <c r="R58" s="679" t="s">
        <v>129</v>
      </c>
      <c r="S58" s="680"/>
      <c r="T58" s="679" t="s">
        <v>130</v>
      </c>
      <c r="U58" s="714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s="17" customFormat="1" ht="20.100000000000001" customHeight="1" thickBot="1">
      <c r="C59" s="689"/>
      <c r="D59" s="690"/>
      <c r="E59" s="690"/>
      <c r="F59" s="696"/>
      <c r="G59" s="696"/>
      <c r="H59" s="696"/>
      <c r="I59" s="696"/>
      <c r="J59" s="696"/>
      <c r="K59" s="696"/>
      <c r="L59" s="681"/>
      <c r="M59" s="682"/>
      <c r="N59" s="681"/>
      <c r="O59" s="682"/>
      <c r="P59" s="681"/>
      <c r="Q59" s="682"/>
      <c r="R59" s="681"/>
      <c r="S59" s="682"/>
      <c r="T59" s="681"/>
      <c r="U59" s="71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s="17" customFormat="1" ht="20.100000000000001" customHeight="1">
      <c r="A60" s="70">
        <f t="shared" ref="A60:A65" si="54">IF(($C60=id.255),3,IF(($C60=id.256),4,IF(($C60=id.215),5,IF(($C60=id.200),7,IF(($C60=id.285),10,IF(($C60=id.210),12,IF(($C60=id.106),13,IF(($C60=id.310),14,IF(($C60=id.141),15,IF(($C60=id.360),16,IF(($C60=id.245),17,IF(($C60=id.225),18,IF(($C60=id.192),19,IF(($C60=id.196),20,IF(($C60=id.330),21,IF(($C60=id.675),22,IF(($C60=id.730),23,IF(($C60=id.855),24,IF(($C60=id.178),25,IF(($C60=id.242),26,IF(($C60=id.180),28,IF(($C60=id.185),29,IF(($C60=id.195),30,IF(($C60=id.240),31,IF(($C60=id.300),32,IF(($C60=id.177),33,IF(($C60=id.860),35,IF(($C60=id.840),36,IF(($C60=id.865),37,IF(($C60=id.800),38,IF(($C60=id.600),41,IF(($C60=id.610),42,IF(($C60=id.630),43,IF(($C60=id.620),44,IF(($C60=id.x1),48,IF(($C60=id.x2),49,"47"))))))))))))))))))))))))))))))))))))</f>
        <v>16</v>
      </c>
      <c r="B60" s="70"/>
      <c r="C60" s="716" t="str">
        <f>IF((m4.1=""),"",m4.1)</f>
        <v/>
      </c>
      <c r="D60" s="717"/>
      <c r="E60" s="717"/>
      <c r="F60" s="94" t="str">
        <f>IF(($C60=""),"*",IF((m4r.1=""),"0",((m4r.1*(total.sqft/1000))*((mix4.count)))))</f>
        <v>*</v>
      </c>
      <c r="G60" s="96" t="str">
        <f t="shared" ref="G60:G65" si="55">IF(($C60=""),"*",(F60/128))</f>
        <v>*</v>
      </c>
      <c r="H60" s="96" t="str">
        <f t="shared" ref="H60:H65" ca="1" si="56">IF(($C60=""),"*",(INDIRECT("'PRODUCT DATA'!$D"&amp;$A60&amp;"")*global.discount))</f>
        <v>*</v>
      </c>
      <c r="I60" s="95" t="str">
        <f ca="1">IF(OR($C60="",$H60=0),"*",(($H60/128)*m4r.1)*43.56)</f>
        <v>*</v>
      </c>
      <c r="J60" s="95" t="str">
        <f t="shared" ref="J60:J65" ca="1" si="57">IF(OR($C60="",$H60=0),"*",($H60*$G60/mix4.count))</f>
        <v>*</v>
      </c>
      <c r="K60" s="95" t="str">
        <f t="shared" ref="K60:K65" ca="1" si="58">IF(OR($C60="",$H60=0),"*",($H60*$G60))</f>
        <v>*</v>
      </c>
      <c r="L60" s="97" t="str">
        <f t="shared" ref="L60:L65" si="59">IF(($C60=""),"0",(ROUNDUP(($G60/5),0)))</f>
        <v>0</v>
      </c>
      <c r="M60" s="95" t="str">
        <f t="shared" ref="M60:M65" ca="1" si="60">IF(OR($C60="",$H60=0),"*",$H60*($L60*5))</f>
        <v>*</v>
      </c>
      <c r="N60" s="155" t="str">
        <f t="shared" ref="N60:N65" si="61">IF(($L60*5)&lt;15,"*",($G60/15))</f>
        <v>*</v>
      </c>
      <c r="O60" s="95" t="str">
        <f t="shared" ref="O60:O65" ca="1" si="62">IF(OR($N60="*",$H60=0),"*",($H60-$R$17)*($N60*15))</f>
        <v>*</v>
      </c>
      <c r="P60" s="155" t="str">
        <f t="shared" ref="P60:P65" si="63">IF(($L60*5)&lt;30,"*",($G60/30))</f>
        <v>*</v>
      </c>
      <c r="Q60" s="95" t="str">
        <f t="shared" ref="Q60:Q65" ca="1" si="64">IF(OR($P60="*",$H60=0),"*",($H60-$R$18)*($P60*30))</f>
        <v>*</v>
      </c>
      <c r="R60" s="155" t="str">
        <f t="shared" ref="R60:R65" si="65">IF(($L60*5)&lt;55,"*",($G60/55))</f>
        <v>*</v>
      </c>
      <c r="S60" s="95" t="str">
        <f t="shared" ref="S60:S65" ca="1" si="66">IF(OR($R60="*",$H60=0),"*",($H60-$R$19)*($R60*55))</f>
        <v>*</v>
      </c>
      <c r="T60" s="155" t="str">
        <f t="shared" ref="T60:T65" si="67">IF(($L60*5)&lt;270,"*",($G60/270))</f>
        <v>*</v>
      </c>
      <c r="U60" s="147" t="str">
        <f t="shared" ref="U60:U65" ca="1" si="68">IF(OR($T60="*",$H60=0),"*",($H60-$R$20)*($T60*270))</f>
        <v>*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s="17" customFormat="1" ht="20.100000000000001" customHeight="1">
      <c r="A61" s="70">
        <f t="shared" si="54"/>
        <v>16</v>
      </c>
      <c r="B61" s="70"/>
      <c r="C61" s="716" t="str">
        <f>IF((m4.2=""),"",m4.2)</f>
        <v/>
      </c>
      <c r="D61" s="717"/>
      <c r="E61" s="717"/>
      <c r="F61" s="94" t="str">
        <f>IF(($C61=""),"*",IF((m4r.2=""),"0",((m4r.2*(total.sqft/1000))*((mix4.count)))))</f>
        <v>*</v>
      </c>
      <c r="G61" s="96" t="str">
        <f t="shared" si="55"/>
        <v>*</v>
      </c>
      <c r="H61" s="96" t="str">
        <f t="shared" ca="1" si="56"/>
        <v>*</v>
      </c>
      <c r="I61" s="95" t="str">
        <f ca="1">IF(OR($C61="",$H61=0),"*",(($H61/128)*m4r.2)*43.56)</f>
        <v>*</v>
      </c>
      <c r="J61" s="95" t="str">
        <f t="shared" ca="1" si="57"/>
        <v>*</v>
      </c>
      <c r="K61" s="95" t="str">
        <f t="shared" ca="1" si="58"/>
        <v>*</v>
      </c>
      <c r="L61" s="97" t="str">
        <f t="shared" si="59"/>
        <v>0</v>
      </c>
      <c r="M61" s="95" t="str">
        <f t="shared" ca="1" si="60"/>
        <v>*</v>
      </c>
      <c r="N61" s="155" t="str">
        <f t="shared" si="61"/>
        <v>*</v>
      </c>
      <c r="O61" s="95" t="str">
        <f t="shared" ca="1" si="62"/>
        <v>*</v>
      </c>
      <c r="P61" s="155" t="str">
        <f t="shared" si="63"/>
        <v>*</v>
      </c>
      <c r="Q61" s="95" t="str">
        <f t="shared" ca="1" si="64"/>
        <v>*</v>
      </c>
      <c r="R61" s="155" t="str">
        <f t="shared" si="65"/>
        <v>*</v>
      </c>
      <c r="S61" s="95" t="str">
        <f t="shared" ca="1" si="66"/>
        <v>*</v>
      </c>
      <c r="T61" s="155" t="str">
        <f t="shared" si="67"/>
        <v>*</v>
      </c>
      <c r="U61" s="147" t="str">
        <f t="shared" ca="1" si="68"/>
        <v>*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17" customFormat="1" ht="20.100000000000001" customHeight="1">
      <c r="A62" s="70">
        <f t="shared" si="54"/>
        <v>16</v>
      </c>
      <c r="B62" s="70"/>
      <c r="C62" s="716" t="str">
        <f>IF((m4.3=""),"",m4.3)</f>
        <v/>
      </c>
      <c r="D62" s="717"/>
      <c r="E62" s="717"/>
      <c r="F62" s="94" t="str">
        <f>IF(($C62=""),"*",IF((m4r.3=""),"0",((m4r.3*(total.sqft/1000))*((mix4.count)))))</f>
        <v>*</v>
      </c>
      <c r="G62" s="96" t="str">
        <f t="shared" si="55"/>
        <v>*</v>
      </c>
      <c r="H62" s="96" t="str">
        <f t="shared" ca="1" si="56"/>
        <v>*</v>
      </c>
      <c r="I62" s="95" t="str">
        <f ca="1">IF(OR($C62="",$H62=0),"*",(($H62/128)*m4r.3)*43.56)</f>
        <v>*</v>
      </c>
      <c r="J62" s="95" t="str">
        <f t="shared" ca="1" si="57"/>
        <v>*</v>
      </c>
      <c r="K62" s="95" t="str">
        <f t="shared" ca="1" si="58"/>
        <v>*</v>
      </c>
      <c r="L62" s="97" t="str">
        <f t="shared" si="59"/>
        <v>0</v>
      </c>
      <c r="M62" s="95" t="str">
        <f t="shared" ca="1" si="60"/>
        <v>*</v>
      </c>
      <c r="N62" s="155" t="str">
        <f t="shared" si="61"/>
        <v>*</v>
      </c>
      <c r="O62" s="95" t="str">
        <f t="shared" ca="1" si="62"/>
        <v>*</v>
      </c>
      <c r="P62" s="155" t="str">
        <f t="shared" si="63"/>
        <v>*</v>
      </c>
      <c r="Q62" s="95" t="str">
        <f t="shared" ca="1" si="64"/>
        <v>*</v>
      </c>
      <c r="R62" s="155" t="str">
        <f t="shared" si="65"/>
        <v>*</v>
      </c>
      <c r="S62" s="95" t="str">
        <f t="shared" ca="1" si="66"/>
        <v>*</v>
      </c>
      <c r="T62" s="155" t="str">
        <f t="shared" si="67"/>
        <v>*</v>
      </c>
      <c r="U62" s="147" t="str">
        <f t="shared" ca="1" si="68"/>
        <v>*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s="17" customFormat="1" ht="20.100000000000001" customHeight="1">
      <c r="A63" s="70">
        <f t="shared" si="54"/>
        <v>16</v>
      </c>
      <c r="B63" s="70"/>
      <c r="C63" s="716" t="str">
        <f>IF((m4.4=""),"",m4.4)</f>
        <v/>
      </c>
      <c r="D63" s="717"/>
      <c r="E63" s="717"/>
      <c r="F63" s="94" t="str">
        <f>IF(($C63=""),"*",IF((m4r.4=""),"0",((m4r.4*(total.sqft/1000))*((mix4.count)))))</f>
        <v>*</v>
      </c>
      <c r="G63" s="96" t="str">
        <f t="shared" si="55"/>
        <v>*</v>
      </c>
      <c r="H63" s="96" t="str">
        <f t="shared" ca="1" si="56"/>
        <v>*</v>
      </c>
      <c r="I63" s="95" t="str">
        <f ca="1">IF(OR($C63="",$H63=0),"*",(($H63/128)*m4r.4)*43.56)</f>
        <v>*</v>
      </c>
      <c r="J63" s="95" t="str">
        <f t="shared" ca="1" si="57"/>
        <v>*</v>
      </c>
      <c r="K63" s="95" t="str">
        <f t="shared" ca="1" si="58"/>
        <v>*</v>
      </c>
      <c r="L63" s="97" t="str">
        <f t="shared" si="59"/>
        <v>0</v>
      </c>
      <c r="M63" s="95" t="str">
        <f t="shared" ca="1" si="60"/>
        <v>*</v>
      </c>
      <c r="N63" s="155" t="str">
        <f t="shared" si="61"/>
        <v>*</v>
      </c>
      <c r="O63" s="95" t="str">
        <f t="shared" ca="1" si="62"/>
        <v>*</v>
      </c>
      <c r="P63" s="155" t="str">
        <f t="shared" si="63"/>
        <v>*</v>
      </c>
      <c r="Q63" s="95" t="str">
        <f t="shared" ca="1" si="64"/>
        <v>*</v>
      </c>
      <c r="R63" s="155" t="str">
        <f t="shared" si="65"/>
        <v>*</v>
      </c>
      <c r="S63" s="95" t="str">
        <f t="shared" ca="1" si="66"/>
        <v>*</v>
      </c>
      <c r="T63" s="155" t="str">
        <f t="shared" si="67"/>
        <v>*</v>
      </c>
      <c r="U63" s="147" t="str">
        <f t="shared" ca="1" si="68"/>
        <v>*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17" customFormat="1" ht="20.100000000000001" customHeight="1">
      <c r="A64" s="70">
        <f t="shared" si="54"/>
        <v>16</v>
      </c>
      <c r="B64" s="70"/>
      <c r="C64" s="716" t="str">
        <f>IF((m4.5=""),"",m4.5)</f>
        <v/>
      </c>
      <c r="D64" s="717"/>
      <c r="E64" s="717"/>
      <c r="F64" s="94" t="str">
        <f>IF(($C64=""),"*",IF((m4r.5=""),"0",((m4r.5*(total.sqft/1000))*((mix4.count)))))</f>
        <v>*</v>
      </c>
      <c r="G64" s="96" t="str">
        <f t="shared" si="55"/>
        <v>*</v>
      </c>
      <c r="H64" s="96" t="str">
        <f t="shared" ca="1" si="56"/>
        <v>*</v>
      </c>
      <c r="I64" s="95" t="str">
        <f ca="1">IF(OR($C64="",$H64=0),"*",(($H64/128)*m4r.5)*43.56)</f>
        <v>*</v>
      </c>
      <c r="J64" s="95" t="str">
        <f t="shared" ca="1" si="57"/>
        <v>*</v>
      </c>
      <c r="K64" s="95" t="str">
        <f t="shared" ca="1" si="58"/>
        <v>*</v>
      </c>
      <c r="L64" s="97" t="str">
        <f t="shared" si="59"/>
        <v>0</v>
      </c>
      <c r="M64" s="95" t="str">
        <f t="shared" ca="1" si="60"/>
        <v>*</v>
      </c>
      <c r="N64" s="155" t="str">
        <f t="shared" si="61"/>
        <v>*</v>
      </c>
      <c r="O64" s="95" t="str">
        <f t="shared" ca="1" si="62"/>
        <v>*</v>
      </c>
      <c r="P64" s="155" t="str">
        <f t="shared" si="63"/>
        <v>*</v>
      </c>
      <c r="Q64" s="95" t="str">
        <f t="shared" ca="1" si="64"/>
        <v>*</v>
      </c>
      <c r="R64" s="155" t="str">
        <f t="shared" si="65"/>
        <v>*</v>
      </c>
      <c r="S64" s="95" t="str">
        <f t="shared" ca="1" si="66"/>
        <v>*</v>
      </c>
      <c r="T64" s="155" t="str">
        <f t="shared" si="67"/>
        <v>*</v>
      </c>
      <c r="U64" s="147" t="str">
        <f t="shared" ca="1" si="68"/>
        <v>*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s="17" customFormat="1" ht="20.100000000000001" customHeight="1" thickBot="1">
      <c r="A65" s="70">
        <f t="shared" si="54"/>
        <v>16</v>
      </c>
      <c r="B65" s="70"/>
      <c r="C65" s="720" t="str">
        <f>IF((m4.6=""),"",m4.6)</f>
        <v/>
      </c>
      <c r="D65" s="721"/>
      <c r="E65" s="721"/>
      <c r="F65" s="148" t="str">
        <f>IF(($C65=""),"*",IF((m4r.6=""),"0",((m4r.6*(total.sqft/1000))*((mix4.count)))))</f>
        <v>*</v>
      </c>
      <c r="G65" s="149" t="str">
        <f t="shared" si="55"/>
        <v>*</v>
      </c>
      <c r="H65" s="149" t="str">
        <f t="shared" ca="1" si="56"/>
        <v>*</v>
      </c>
      <c r="I65" s="150" t="str">
        <f ca="1">IF(OR($C65="",$H65=0),"*",(($H65/128)*m4r.6)*43.56)</f>
        <v>*</v>
      </c>
      <c r="J65" s="150" t="str">
        <f t="shared" ca="1" si="57"/>
        <v>*</v>
      </c>
      <c r="K65" s="150" t="str">
        <f t="shared" ca="1" si="58"/>
        <v>*</v>
      </c>
      <c r="L65" s="151" t="str">
        <f t="shared" si="59"/>
        <v>0</v>
      </c>
      <c r="M65" s="150" t="str">
        <f t="shared" ca="1" si="60"/>
        <v>*</v>
      </c>
      <c r="N65" s="156" t="str">
        <f t="shared" si="61"/>
        <v>*</v>
      </c>
      <c r="O65" s="150" t="str">
        <f t="shared" ca="1" si="62"/>
        <v>*</v>
      </c>
      <c r="P65" s="156" t="str">
        <f t="shared" si="63"/>
        <v>*</v>
      </c>
      <c r="Q65" s="150" t="str">
        <f t="shared" ca="1" si="64"/>
        <v>*</v>
      </c>
      <c r="R65" s="156" t="str">
        <f t="shared" si="65"/>
        <v>*</v>
      </c>
      <c r="S65" s="150" t="str">
        <f t="shared" ca="1" si="66"/>
        <v>*</v>
      </c>
      <c r="T65" s="156" t="str">
        <f t="shared" si="67"/>
        <v>*</v>
      </c>
      <c r="U65" s="157" t="str">
        <f t="shared" ca="1" si="68"/>
        <v>*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s="138" customFormat="1" ht="20.100000000000001" customHeight="1" thickTop="1">
      <c r="C66" s="722" t="s">
        <v>94</v>
      </c>
      <c r="D66" s="722"/>
      <c r="E66" s="722"/>
      <c r="F66" s="93" t="str">
        <f t="shared" ref="F66:U66" si="69">IF(SUM(F60:F65)=0,"*",SUM(F60:F65))</f>
        <v>*</v>
      </c>
      <c r="G66" s="93" t="str">
        <f t="shared" si="69"/>
        <v>*</v>
      </c>
      <c r="H66" s="158" t="str">
        <f t="shared" ca="1" si="69"/>
        <v>*</v>
      </c>
      <c r="I66" s="158" t="str">
        <f t="shared" ca="1" si="69"/>
        <v>*</v>
      </c>
      <c r="J66" s="159" t="str">
        <f t="shared" ca="1" si="69"/>
        <v>*</v>
      </c>
      <c r="K66" s="159" t="str">
        <f t="shared" ca="1" si="69"/>
        <v>*</v>
      </c>
      <c r="L66" s="93" t="str">
        <f t="shared" si="69"/>
        <v>*</v>
      </c>
      <c r="M66" s="159" t="str">
        <f t="shared" ca="1" si="69"/>
        <v>*</v>
      </c>
      <c r="N66" s="298" t="str">
        <f t="shared" ref="N66:T66" si="70">IF(SUM(N60:N65)=0,"*",SUM(N60:N65))</f>
        <v>*</v>
      </c>
      <c r="O66" s="159" t="str">
        <f t="shared" ca="1" si="69"/>
        <v>*</v>
      </c>
      <c r="P66" s="298" t="str">
        <f t="shared" si="70"/>
        <v>*</v>
      </c>
      <c r="Q66" s="159" t="str">
        <f t="shared" ca="1" si="69"/>
        <v>*</v>
      </c>
      <c r="R66" s="298" t="str">
        <f t="shared" si="70"/>
        <v>*</v>
      </c>
      <c r="S66" s="159" t="str">
        <f t="shared" ca="1" si="69"/>
        <v>*</v>
      </c>
      <c r="T66" s="298" t="str">
        <f t="shared" si="70"/>
        <v>*</v>
      </c>
      <c r="U66" s="159" t="str">
        <f t="shared" ca="1" si="69"/>
        <v>*</v>
      </c>
      <c r="V66" s="17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s="186" customFormat="1" ht="9" customHeight="1" thickBo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66"/>
      <c r="W67" s="166"/>
      <c r="X67" s="166"/>
    </row>
    <row r="68" spans="1:32" s="17" customFormat="1" ht="19.5" customHeight="1" thickTop="1">
      <c r="C68" s="687"/>
      <c r="D68" s="688"/>
      <c r="E68" s="688"/>
      <c r="F68" s="679" t="s">
        <v>133</v>
      </c>
      <c r="G68" s="680"/>
      <c r="H68" s="695" t="s">
        <v>132</v>
      </c>
      <c r="I68" s="695" t="s">
        <v>84</v>
      </c>
      <c r="J68" s="695" t="s">
        <v>86</v>
      </c>
      <c r="K68" s="695" t="s">
        <v>85</v>
      </c>
      <c r="L68" s="679" t="s">
        <v>136</v>
      </c>
      <c r="M68" s="680"/>
      <c r="N68" s="679" t="s">
        <v>134</v>
      </c>
      <c r="O68" s="680"/>
      <c r="P68" s="679" t="s">
        <v>135</v>
      </c>
      <c r="Q68" s="693"/>
      <c r="R68" s="718"/>
      <c r="S68" s="719"/>
      <c r="T68" s="719"/>
      <c r="U68" s="719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s="17" customFormat="1" ht="20.100000000000001" customHeight="1" thickBot="1">
      <c r="C69" s="689"/>
      <c r="D69" s="690"/>
      <c r="E69" s="690"/>
      <c r="F69" s="681"/>
      <c r="G69" s="682"/>
      <c r="H69" s="696"/>
      <c r="I69" s="696"/>
      <c r="J69" s="696"/>
      <c r="K69" s="696"/>
      <c r="L69" s="681"/>
      <c r="M69" s="682"/>
      <c r="N69" s="681"/>
      <c r="O69" s="682"/>
      <c r="P69" s="681"/>
      <c r="Q69" s="694"/>
      <c r="R69" s="718"/>
      <c r="S69" s="719"/>
      <c r="T69" s="719"/>
      <c r="U69" s="719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s="17" customFormat="1" ht="24" customHeight="1" thickBot="1">
      <c r="A70" s="70"/>
      <c r="B70" s="70"/>
      <c r="C70" s="711" t="s">
        <v>184</v>
      </c>
      <c r="D70" s="712"/>
      <c r="E70" s="713"/>
      <c r="F70" s="466"/>
      <c r="G70" s="467"/>
      <c r="H70" s="467"/>
      <c r="I70" s="468"/>
      <c r="J70" s="468"/>
      <c r="K70" s="468"/>
      <c r="L70" s="469"/>
      <c r="M70" s="468"/>
      <c r="N70" s="470"/>
      <c r="O70" s="468"/>
      <c r="P70" s="470"/>
      <c r="Q70" s="471"/>
      <c r="R70" s="163"/>
      <c r="S70" s="164"/>
      <c r="T70" s="165"/>
      <c r="U70" s="164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s="17" customFormat="1" ht="20.100000000000001" customHeight="1" thickBot="1">
      <c r="A71" s="70" t="str">
        <f>IF(($C71=id.x3),50,"47")</f>
        <v>47</v>
      </c>
      <c r="B71" s="70"/>
      <c r="C71" s="691" t="str">
        <f>IF((s1.1=""),"",s1.1)</f>
        <v/>
      </c>
      <c r="D71" s="692"/>
      <c r="E71" s="692"/>
      <c r="F71" s="683" t="str">
        <f>IF(($C71=""),"*",IF((s1r.1=""),"0",((s1r.1*(total.sqft/1000))*((spreader1.count)))))</f>
        <v>*</v>
      </c>
      <c r="G71" s="684"/>
      <c r="H71" s="472" t="str">
        <f ca="1">IF(($C71=""),"*",((INDIRECT("'PRODUCT DATA'!$D"&amp;$A71&amp;"")/INDIRECT("'PRODUCT DATA'!$F"&amp;$A71&amp;""))*global.discount))</f>
        <v>*</v>
      </c>
      <c r="I71" s="473" t="str">
        <f ca="1">IF(OR($C71="",$H71=0),"*",(($H71*s1r.1)*43.56))</f>
        <v>*</v>
      </c>
      <c r="J71" s="473" t="str">
        <f ca="1">IF(OR($C71="",$H71=0),"*",($H71*$F71/spreader1.count))</f>
        <v>*</v>
      </c>
      <c r="K71" s="473" t="str">
        <f ca="1">IF(OR($C71="",$H71=0),"*",($H71*$F71))</f>
        <v>*</v>
      </c>
      <c r="L71" s="474" t="str">
        <f ca="1">IF(($C71=""),"0",(ROUNDUP(($F71/INDIRECT("'PRODUCT DATA'!$F"&amp;$A71&amp;"")),0)))</f>
        <v>0</v>
      </c>
      <c r="M71" s="473" t="str">
        <f ca="1">IF(OR($C71="",$H71=0),"*",$H71*($L71*INDIRECT("'PRODUCT DATA'!$F"&amp;$A71&amp;"")))</f>
        <v>*</v>
      </c>
      <c r="N71" s="475" t="str">
        <f ca="1">IF(($L71*50)&lt;1000,"*",($F71/1000))</f>
        <v>*</v>
      </c>
      <c r="O71" s="473" t="str">
        <f ca="1">IF(OR($P71="*",$H71=0),"*",($H71-$R$21)*($N71*1000))</f>
        <v>*</v>
      </c>
      <c r="P71" s="475" t="str">
        <f ca="1">IF(($L71*50)&lt;2000,"*",($F71/2000))</f>
        <v>*</v>
      </c>
      <c r="Q71" s="476" t="str">
        <f ca="1">IF(OR($P71="*",$H71=0),"*",($H71-$R$22)*($P71*2000))</f>
        <v>*</v>
      </c>
      <c r="R71" s="163"/>
      <c r="S71" s="164"/>
      <c r="T71" s="165"/>
      <c r="U71" s="164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s="17" customFormat="1" ht="24" customHeight="1" thickBot="1">
      <c r="A72" s="70"/>
      <c r="B72" s="70"/>
      <c r="C72" s="674" t="s">
        <v>185</v>
      </c>
      <c r="D72" s="675"/>
      <c r="E72" s="676"/>
      <c r="F72" s="466"/>
      <c r="G72" s="467"/>
      <c r="H72" s="467"/>
      <c r="I72" s="468"/>
      <c r="J72" s="468"/>
      <c r="K72" s="468"/>
      <c r="L72" s="469"/>
      <c r="M72" s="468"/>
      <c r="N72" s="470"/>
      <c r="O72" s="468"/>
      <c r="P72" s="470"/>
      <c r="Q72" s="471"/>
      <c r="R72" s="163"/>
      <c r="S72" s="164"/>
      <c r="T72" s="165"/>
      <c r="U72" s="164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s="17" customFormat="1" ht="20.100000000000001" customHeight="1" thickBot="1">
      <c r="A73" s="70">
        <f>IF(($C73=id.1220),52,IF(($C73=id.1270),53,IF(($C73=id.1200),54,IF(($C73=id.1340),55,IF(($C73=id.1240),56,IF(($C73=id.2030),66,IF(($C73=id.1360),68,IF(($C73=id.1370),69,IF(($C73=id.2020),70,IF(($C73=id.2000),71,IF(($C73=id.z1),73,IF(($C73=id.z2),74,"72"))))))))))))</f>
        <v>52</v>
      </c>
      <c r="B73" s="70"/>
      <c r="C73" s="691" t="str">
        <f>IF((s2.1=""),"",s2.1)</f>
        <v/>
      </c>
      <c r="D73" s="692"/>
      <c r="E73" s="692"/>
      <c r="F73" s="683" t="str">
        <f>IF(($C73=""),"*",IF((s2r.1=""),"0",((s2r.1*(total.sqft/1000))*((spreader2.count)))))</f>
        <v>*</v>
      </c>
      <c r="G73" s="684"/>
      <c r="H73" s="472" t="str">
        <f ca="1">IF(($C73=""),"*",((INDIRECT("'PRODUCT DATA'!$D"&amp;$A73&amp;"")/INDIRECT("'PRODUCT DATA'!$F"&amp;$A73&amp;""))*global.discount))</f>
        <v>*</v>
      </c>
      <c r="I73" s="473" t="str">
        <f ca="1">IF(OR($C73="",$H73=0),"*",(($H73*s2r.1)*43.56))</f>
        <v>*</v>
      </c>
      <c r="J73" s="473" t="str">
        <f ca="1">IF(OR($C73="",$H73=0),"*",($H73*$F73/spreader2.count))</f>
        <v>*</v>
      </c>
      <c r="K73" s="473" t="str">
        <f ca="1">IF(OR($C73="",$H73=0),"*",($H73*$F73))</f>
        <v>*</v>
      </c>
      <c r="L73" s="474" t="str">
        <f ca="1">IF(($C73=""),"0",(ROUNDUP(($F73/INDIRECT("'PRODUCT DATA'!$F"&amp;$A73&amp;"")),0)))</f>
        <v>0</v>
      </c>
      <c r="M73" s="473" t="str">
        <f ca="1">IF(OR($C73="",$H73=0),"*",$H73*($L73*INDIRECT("'PRODUCT DATA'!$F"&amp;$A73&amp;"")))</f>
        <v>*</v>
      </c>
      <c r="N73" s="475" t="str">
        <f ca="1">IF(($L73*50)&lt;1000,"*",($F73/1000))</f>
        <v>*</v>
      </c>
      <c r="O73" s="473" t="str">
        <f ca="1">IF(OR($P73="*",$H73=0),"*",($H73-$R$21)*($P73*2000))</f>
        <v>*</v>
      </c>
      <c r="P73" s="475" t="str">
        <f ca="1">IF(($L73*50)&lt;2000,"*",($F73/2000))</f>
        <v>*</v>
      </c>
      <c r="Q73" s="476" t="str">
        <f ca="1">IF(OR($P73="*",$H73=0),"*",($H73-$R$22)*($P73*2000))</f>
        <v>*</v>
      </c>
      <c r="R73" s="163"/>
      <c r="S73" s="164"/>
      <c r="T73" s="165"/>
      <c r="U73" s="164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s="17" customFormat="1" ht="24" customHeight="1" thickBot="1">
      <c r="A74" s="70"/>
      <c r="B74" s="70"/>
      <c r="C74" s="674" t="s">
        <v>186</v>
      </c>
      <c r="D74" s="675"/>
      <c r="E74" s="676"/>
      <c r="F74" s="466"/>
      <c r="G74" s="467"/>
      <c r="H74" s="467"/>
      <c r="I74" s="468"/>
      <c r="J74" s="468"/>
      <c r="K74" s="468"/>
      <c r="L74" s="469"/>
      <c r="M74" s="468"/>
      <c r="N74" s="470"/>
      <c r="O74" s="468"/>
      <c r="P74" s="470"/>
      <c r="Q74" s="471"/>
      <c r="R74" s="163"/>
      <c r="S74" s="164"/>
      <c r="T74" s="165"/>
      <c r="U74" s="164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s="17" customFormat="1" ht="20.100000000000001" customHeight="1" thickBot="1">
      <c r="A75" s="70">
        <f>IF(($C75=id.1220),52,IF(($C75=id.1270),53,IF(($C75=id.1200),54,IF(($C75=id.1340),55,IF(($C75=id.1240),56,IF(($C75=id.2030),66,IF(($C75=id.1360),68,IF(($C75=id.1370),69,IF(($C75=id.2020),70,IF(($C75=id.2000),71,IF(($C75=id.z1),73,IF(($C75=id.z2),74,"72"))))))))))))</f>
        <v>52</v>
      </c>
      <c r="B75" s="70"/>
      <c r="C75" s="691" t="str">
        <f>IF((s3.1=""),"",s3.1)</f>
        <v/>
      </c>
      <c r="D75" s="692"/>
      <c r="E75" s="692"/>
      <c r="F75" s="683" t="str">
        <f>IF(($C75=""),"*",IF((s3r.1=""),"0",((s3r.1*(total.sqft/1000))*((spreader3.count)))))</f>
        <v>*</v>
      </c>
      <c r="G75" s="684"/>
      <c r="H75" s="472" t="str">
        <f ca="1">IF(($C75=""),"*",((INDIRECT("'PRODUCT DATA'!$D"&amp;$A75&amp;"")/INDIRECT("'PRODUCT DATA'!$F"&amp;$A75&amp;""))*global.discount))</f>
        <v>*</v>
      </c>
      <c r="I75" s="473" t="str">
        <f ca="1">IF(OR($C75="",$H75=0),"*",(($H75*s3r.1)*43.56))</f>
        <v>*</v>
      </c>
      <c r="J75" s="473" t="str">
        <f ca="1">IF(OR($C75="",$H75=0),"*",($H75*$F75/spreader3.count))</f>
        <v>*</v>
      </c>
      <c r="K75" s="473" t="str">
        <f ca="1">IF(OR($C75="",$H75=0),"*",($H75*$F75))</f>
        <v>*</v>
      </c>
      <c r="L75" s="474" t="str">
        <f ca="1">IF(($C75=""),"0",(ROUNDUP(($F75/INDIRECT("'PRODUCT DATA'!$F"&amp;$A75&amp;"")),0)))</f>
        <v>0</v>
      </c>
      <c r="M75" s="473" t="str">
        <f ca="1">IF(OR($C75="",$H75=0),"*",$H75*($L75*INDIRECT("'PRODUCT DATA'!$F"&amp;$A75&amp;"")))</f>
        <v>*</v>
      </c>
      <c r="N75" s="475" t="str">
        <f ca="1">IF(($L75*50)&lt;1000,"*",($F75/1000))</f>
        <v>*</v>
      </c>
      <c r="O75" s="473" t="str">
        <f ca="1">IF(OR($P75="*",$H75=0),"*",($H75-$R$21)*($P75*2000))</f>
        <v>*</v>
      </c>
      <c r="P75" s="475" t="str">
        <f ca="1">IF(($L75*50)&lt;2000,"*",($F75/2000))</f>
        <v>*</v>
      </c>
      <c r="Q75" s="476" t="str">
        <f ca="1">IF(OR($P75="*",$H75=0),"*",($H75-$R$22)*($P75*2000))</f>
        <v>*</v>
      </c>
      <c r="R75" s="163"/>
      <c r="S75" s="164"/>
      <c r="T75" s="165"/>
      <c r="U75" s="164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s="17" customFormat="1" ht="24" customHeight="1" thickBot="1">
      <c r="A76" s="70"/>
      <c r="B76" s="70"/>
      <c r="C76" s="674" t="s">
        <v>187</v>
      </c>
      <c r="D76" s="675"/>
      <c r="E76" s="676"/>
      <c r="F76" s="466"/>
      <c r="G76" s="467"/>
      <c r="H76" s="467"/>
      <c r="I76" s="468"/>
      <c r="J76" s="468"/>
      <c r="K76" s="468"/>
      <c r="L76" s="469"/>
      <c r="M76" s="468"/>
      <c r="N76" s="470"/>
      <c r="O76" s="468"/>
      <c r="P76" s="470"/>
      <c r="Q76" s="471"/>
      <c r="R76" s="163"/>
      <c r="S76" s="164"/>
      <c r="T76" s="165"/>
      <c r="U76" s="164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s="17" customFormat="1" ht="20.100000000000001" customHeight="1" thickBot="1">
      <c r="A77" s="70">
        <f>IF(($C77=id.1220),52,IF(($C77=id.1270),53,IF(($C77=id.1200),54,IF(($C77=id.1340),55,IF(($C77=id.1240),56,IF(($C77=id.2030),66,IF(($C77=id.1360),68,IF(($C77=id.1370),69,IF(($C77=id.2020),70,IF(($C77=id.2000),71,IF(($C77=id.z1),73,IF(($C77=id.z2),74,"72"))))))))))))</f>
        <v>52</v>
      </c>
      <c r="B77" s="70"/>
      <c r="C77" s="677" t="str">
        <f>IF((s4.1=""),"",s4.1)</f>
        <v/>
      </c>
      <c r="D77" s="678"/>
      <c r="E77" s="678"/>
      <c r="F77" s="685" t="str">
        <f>IF(($C77=""),"*",IF((s4r.1=""),"0",((s4r.1*(total.sqft/1000))*((spreader4.count)))))</f>
        <v>*</v>
      </c>
      <c r="G77" s="686"/>
      <c r="H77" s="477" t="str">
        <f ca="1">IF(($C77=""),"*",((INDIRECT("'PRODUCT DATA'!$D"&amp;$A77&amp;"")/INDIRECT("'PRODUCT DATA'!$F"&amp;$A77&amp;""))*global.discount))</f>
        <v>*</v>
      </c>
      <c r="I77" s="478" t="str">
        <f ca="1">IF(OR($C77="",$H77=0),"*",(($H77*s4r.1)*43.56))</f>
        <v>*</v>
      </c>
      <c r="J77" s="478" t="str">
        <f ca="1">IF(OR($C77="",$H77=0),"*",($H77*$F77/spreader4.count))</f>
        <v>*</v>
      </c>
      <c r="K77" s="478" t="str">
        <f ca="1">IF(OR($C77="",$H77=0),"*",($H77*$F77))</f>
        <v>*</v>
      </c>
      <c r="L77" s="479" t="str">
        <f ca="1">IF(($C77=""),"0",(ROUNDUP(($F77/INDIRECT("'PRODUCT DATA'!$F"&amp;$A77&amp;"")),0)))</f>
        <v>0</v>
      </c>
      <c r="M77" s="478" t="str">
        <f ca="1">IF(OR($C77="",$H77=0),"*",$H77*($L77*INDIRECT("'PRODUCT DATA'!$F"&amp;$A77&amp;"")))</f>
        <v>*</v>
      </c>
      <c r="N77" s="480" t="str">
        <f ca="1">IF(($L77*50)&lt;1000,"*",($F77/1000))</f>
        <v>*</v>
      </c>
      <c r="O77" s="478" t="str">
        <f ca="1">IF(OR($P77="*",$H77=0),"*",($H77-$R$21)*($P77*2000))</f>
        <v>*</v>
      </c>
      <c r="P77" s="480" t="str">
        <f ca="1">IF(($L77*50)&lt;2000,"*",($F77/2000))</f>
        <v>*</v>
      </c>
      <c r="Q77" s="481" t="str">
        <f ca="1">IF(OR($P77="*",$H77=0),"*",($H77-$R$22)*($P77*2000))</f>
        <v>*</v>
      </c>
      <c r="R77" s="163"/>
      <c r="S77" s="164"/>
      <c r="T77" s="165"/>
      <c r="U77" s="164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s="186" customFormat="1" ht="19.5" customHeight="1" thickTop="1"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32" s="186" customFormat="1" ht="19.5" customHeight="1"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32" s="186" customFormat="1" ht="19.5" customHeight="1"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3:24" s="186" customFormat="1" ht="19.5" customHeight="1"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3:24" s="186" customFormat="1" ht="19.5" customHeight="1"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3:24" s="186" customFormat="1" ht="19.5" customHeight="1"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3:24" s="186" customFormat="1" ht="19.5" customHeight="1"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3:24" s="186" customFormat="1" ht="19.5" customHeight="1"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3:24" s="186" customFormat="1" ht="19.5" customHeight="1"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3:24" s="186" customFormat="1" ht="19.5" customHeight="1"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3:24" s="186" customFormat="1" ht="19.5" customHeight="1"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3:24" s="186" customFormat="1" ht="19.5" customHeight="1"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3:24" s="186" customFormat="1" ht="19.5" customHeight="1"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3:24" s="186" customFormat="1" ht="19.5" customHeight="1"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3:24" s="186" customFormat="1" ht="19.5" customHeight="1"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3:24" s="186" customFormat="1" ht="19.5" customHeight="1"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3:24" s="186" customFormat="1" ht="19.5" customHeight="1"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3:24" s="186" customFormat="1" ht="19.5" customHeight="1"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3:24" s="186" customFormat="1" ht="19.5" customHeight="1"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="186" customFormat="1" ht="19.5" customHeight="1"/>
  </sheetData>
  <sheetProtection algorithmName="SHA-512" hashValue="mHu6NmGhDlk0YzEmpIjoewytxdAbtjbnu3vvmayPx5glnMwz0SJ/L8SMb+FRjWoeHvm4e998MV2juNvtgrHVjA==" saltValue="mBeX30WMg4sbBVvdo9OmVQ==" spinCount="100000" sheet="1" objects="1" scenarios="1" selectLockedCells="1"/>
  <customSheetViews>
    <customSheetView guid="{F1651EBB-9323-409D-980E-CBA49ADEAE68}">
      <pageMargins left="0.7" right="0.7" top="0.75" bottom="0.75" header="0.3" footer="0.3"/>
    </customSheetView>
  </customSheetViews>
  <mergeCells count="138">
    <mergeCell ref="C61:E61"/>
    <mergeCell ref="C62:E62"/>
    <mergeCell ref="K58:K59"/>
    <mergeCell ref="F58:F59"/>
    <mergeCell ref="G58:G59"/>
    <mergeCell ref="H58:H59"/>
    <mergeCell ref="I58:I59"/>
    <mergeCell ref="J58:J59"/>
    <mergeCell ref="C58:E59"/>
    <mergeCell ref="C2:D2"/>
    <mergeCell ref="C3:D3"/>
    <mergeCell ref="C4:D4"/>
    <mergeCell ref="E2:H2"/>
    <mergeCell ref="C26:E26"/>
    <mergeCell ref="C27:E27"/>
    <mergeCell ref="C28:E28"/>
    <mergeCell ref="G24:G25"/>
    <mergeCell ref="C33:E33"/>
    <mergeCell ref="C5:D5"/>
    <mergeCell ref="C24:E25"/>
    <mergeCell ref="F24:F25"/>
    <mergeCell ref="L48:M49"/>
    <mergeCell ref="N48:O49"/>
    <mergeCell ref="C42:E42"/>
    <mergeCell ref="C48:E49"/>
    <mergeCell ref="C56:E56"/>
    <mergeCell ref="C51:E51"/>
    <mergeCell ref="C52:E52"/>
    <mergeCell ref="C53:E53"/>
    <mergeCell ref="C54:E54"/>
    <mergeCell ref="C55:E55"/>
    <mergeCell ref="C34:E34"/>
    <mergeCell ref="C35:E35"/>
    <mergeCell ref="C36:E36"/>
    <mergeCell ref="C38:E39"/>
    <mergeCell ref="C43:E43"/>
    <mergeCell ref="C44:E44"/>
    <mergeCell ref="C45:E45"/>
    <mergeCell ref="C46:E46"/>
    <mergeCell ref="E3:I3"/>
    <mergeCell ref="C29:E29"/>
    <mergeCell ref="C30:E30"/>
    <mergeCell ref="C31:E31"/>
    <mergeCell ref="C32:E32"/>
    <mergeCell ref="AA5:AB5"/>
    <mergeCell ref="W6:Z6"/>
    <mergeCell ref="AA6:AB6"/>
    <mergeCell ref="W8:X8"/>
    <mergeCell ref="Y8:Z8"/>
    <mergeCell ref="AA8:AB8"/>
    <mergeCell ref="W5:Z5"/>
    <mergeCell ref="S11:T11"/>
    <mergeCell ref="R15:R16"/>
    <mergeCell ref="R24:S25"/>
    <mergeCell ref="T24:U25"/>
    <mergeCell ref="AC8:AD8"/>
    <mergeCell ref="Y9:Z9"/>
    <mergeCell ref="AC9:AD9"/>
    <mergeCell ref="Y10:Z10"/>
    <mergeCell ref="Y11:Z11"/>
    <mergeCell ref="Y12:Z12"/>
    <mergeCell ref="Y13:Z13"/>
    <mergeCell ref="S10:T10"/>
    <mergeCell ref="S8:T8"/>
    <mergeCell ref="S17:T17"/>
    <mergeCell ref="S15:T16"/>
    <mergeCell ref="R68:S69"/>
    <mergeCell ref="T68:U69"/>
    <mergeCell ref="F38:F39"/>
    <mergeCell ref="C50:E50"/>
    <mergeCell ref="G48:G49"/>
    <mergeCell ref="H48:H49"/>
    <mergeCell ref="I48:I49"/>
    <mergeCell ref="J48:J49"/>
    <mergeCell ref="K48:K49"/>
    <mergeCell ref="F48:F49"/>
    <mergeCell ref="G38:G39"/>
    <mergeCell ref="H38:H39"/>
    <mergeCell ref="I38:I39"/>
    <mergeCell ref="L38:M39"/>
    <mergeCell ref="N38:O39"/>
    <mergeCell ref="P38:Q39"/>
    <mergeCell ref="R38:S39"/>
    <mergeCell ref="T38:U39"/>
    <mergeCell ref="P48:Q49"/>
    <mergeCell ref="C63:E63"/>
    <mergeCell ref="C64:E64"/>
    <mergeCell ref="C65:E65"/>
    <mergeCell ref="C66:E66"/>
    <mergeCell ref="C60:E60"/>
    <mergeCell ref="R2:U2"/>
    <mergeCell ref="S3:T4"/>
    <mergeCell ref="S5:T5"/>
    <mergeCell ref="R6:U6"/>
    <mergeCell ref="R9:U9"/>
    <mergeCell ref="S7:T7"/>
    <mergeCell ref="C70:E70"/>
    <mergeCell ref="C71:E71"/>
    <mergeCell ref="C72:E72"/>
    <mergeCell ref="L58:M59"/>
    <mergeCell ref="N58:O59"/>
    <mergeCell ref="P58:Q59"/>
    <mergeCell ref="R58:S59"/>
    <mergeCell ref="T58:U59"/>
    <mergeCell ref="H68:H69"/>
    <mergeCell ref="I68:I69"/>
    <mergeCell ref="R48:S49"/>
    <mergeCell ref="T48:U49"/>
    <mergeCell ref="J38:J39"/>
    <mergeCell ref="K38:K39"/>
    <mergeCell ref="C40:E40"/>
    <mergeCell ref="C41:E41"/>
    <mergeCell ref="J68:J69"/>
    <mergeCell ref="K68:K69"/>
    <mergeCell ref="N9:P22"/>
    <mergeCell ref="C76:E76"/>
    <mergeCell ref="C77:E77"/>
    <mergeCell ref="F68:G69"/>
    <mergeCell ref="F71:G71"/>
    <mergeCell ref="F73:G73"/>
    <mergeCell ref="F75:G75"/>
    <mergeCell ref="F77:G77"/>
    <mergeCell ref="C68:E69"/>
    <mergeCell ref="C73:E73"/>
    <mergeCell ref="C74:E74"/>
    <mergeCell ref="C75:E75"/>
    <mergeCell ref="L68:M69"/>
    <mergeCell ref="N68:O69"/>
    <mergeCell ref="P68:Q69"/>
    <mergeCell ref="I24:I25"/>
    <mergeCell ref="J24:J25"/>
    <mergeCell ref="H24:H25"/>
    <mergeCell ref="D9:L9"/>
    <mergeCell ref="N24:O25"/>
    <mergeCell ref="L24:M25"/>
    <mergeCell ref="P24:Q25"/>
    <mergeCell ref="J16:L16"/>
    <mergeCell ref="K24:K25"/>
  </mergeCells>
  <conditionalFormatting sqref="D21:L21 D14:L14">
    <cfRule type="iconSet" priority="116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C8:L8">
    <cfRule type="iconSet" priority="115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K21">
    <cfRule type="iconSet" priority="114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8:L20 D11:L13">
    <cfRule type="cellIs" dxfId="175" priority="113" operator="greaterThan">
      <formula>0</formula>
    </cfRule>
  </conditionalFormatting>
  <conditionalFormatting sqref="D18:L19 D11:L12">
    <cfRule type="cellIs" dxfId="174" priority="112" operator="lessThan">
      <formula>0</formula>
    </cfRule>
  </conditionalFormatting>
  <conditionalFormatting sqref="L35 L45 L55 L65">
    <cfRule type="expression" dxfId="173" priority="110">
      <formula>"$L$30=0"</formula>
    </cfRule>
  </conditionalFormatting>
  <conditionalFormatting sqref="H36:K36 M36 O36 Q36 S36 U36 U46 S46 Q46 O46 M46 H46:K46 U56 S56 Q56 O56 M56 H56:K56 U66 S66 Q66 O66 M66 H66:K66 F26:U35">
    <cfRule type="cellIs" dxfId="172" priority="108" operator="equal">
      <formula>"*"</formula>
    </cfRule>
  </conditionalFormatting>
  <conditionalFormatting sqref="F40:U45 F50:U55 F60:U65 G70 G72 G74 G76 F70:F77 H70:U77">
    <cfRule type="cellIs" dxfId="171" priority="105" operator="equal">
      <formula>"*"</formula>
    </cfRule>
    <cfRule type="cellIs" priority="106" operator="equal">
      <formula>"*"</formula>
    </cfRule>
  </conditionalFormatting>
  <conditionalFormatting sqref="L26:L35">
    <cfRule type="cellIs" dxfId="170" priority="102" operator="greaterThan">
      <formula>0</formula>
    </cfRule>
    <cfRule type="cellIs" dxfId="169" priority="104" operator="equal">
      <formula>0</formula>
    </cfRule>
  </conditionalFormatting>
  <conditionalFormatting sqref="L28:L35">
    <cfRule type="cellIs" dxfId="168" priority="103" operator="equal">
      <formula>0</formula>
    </cfRule>
  </conditionalFormatting>
  <conditionalFormatting sqref="I26:K36 M26:M36 O26:O36 Q26:Q36 S26:S36 U26:U36">
    <cfRule type="cellIs" dxfId="167" priority="39" operator="lessThanOrEqual">
      <formula>0</formula>
    </cfRule>
  </conditionalFormatting>
  <conditionalFormatting sqref="F27:U36">
    <cfRule type="cellIs" dxfId="166" priority="38" operator="lessThan">
      <formula>0</formula>
    </cfRule>
  </conditionalFormatting>
  <conditionalFormatting sqref="F40:U46 F50:U56 F60:U66 F71:Q73 F75:Q75 F77:Q77 F26:U36">
    <cfRule type="cellIs" dxfId="165" priority="37" operator="lessThan">
      <formula>0</formula>
    </cfRule>
  </conditionalFormatting>
  <conditionalFormatting sqref="E14">
    <cfRule type="iconSet" priority="23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4">
    <cfRule type="iconSet" priority="22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E14:L14">
    <cfRule type="iconSet" priority="21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 L21">
    <cfRule type="iconSet" priority="20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:L21">
    <cfRule type="iconSet" priority="19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F14">
    <cfRule type="iconSet" priority="18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C40:E45 C50:E55 C60:E65 C26:E35">
    <cfRule type="duplicateValues" dxfId="164" priority="17"/>
  </conditionalFormatting>
  <conditionalFormatting sqref="N46">
    <cfRule type="cellIs" dxfId="163" priority="16" operator="lessThan">
      <formula>0</formula>
    </cfRule>
  </conditionalFormatting>
  <conditionalFormatting sqref="T46 R46 P46">
    <cfRule type="cellIs" dxfId="162" priority="15" operator="lessThan">
      <formula>0</formula>
    </cfRule>
  </conditionalFormatting>
  <conditionalFormatting sqref="N56">
    <cfRule type="cellIs" dxfId="161" priority="14" operator="lessThan">
      <formula>0</formula>
    </cfRule>
  </conditionalFormatting>
  <conditionalFormatting sqref="O56:Q56">
    <cfRule type="cellIs" dxfId="160" priority="13" operator="lessThan">
      <formula>0</formula>
    </cfRule>
  </conditionalFormatting>
  <conditionalFormatting sqref="N66">
    <cfRule type="cellIs" dxfId="159" priority="12" operator="lessThan">
      <formula>0</formula>
    </cfRule>
  </conditionalFormatting>
  <conditionalFormatting sqref="N56">
    <cfRule type="cellIs" dxfId="158" priority="11" operator="lessThan">
      <formula>0</formula>
    </cfRule>
  </conditionalFormatting>
  <conditionalFormatting sqref="T56 R56 P56">
    <cfRule type="cellIs" dxfId="157" priority="10" operator="lessThan">
      <formula>0</formula>
    </cfRule>
  </conditionalFormatting>
  <conditionalFormatting sqref="T56 R56 P56">
    <cfRule type="cellIs" dxfId="156" priority="9" operator="lessThan">
      <formula>0</formula>
    </cfRule>
  </conditionalFormatting>
  <conditionalFormatting sqref="N66">
    <cfRule type="cellIs" dxfId="155" priority="8" operator="lessThan">
      <formula>0</formula>
    </cfRule>
  </conditionalFormatting>
  <conditionalFormatting sqref="N66">
    <cfRule type="cellIs" dxfId="154" priority="7" operator="lessThan">
      <formula>0</formula>
    </cfRule>
  </conditionalFormatting>
  <conditionalFormatting sqref="T66 R66 P66">
    <cfRule type="cellIs" dxfId="153" priority="6" operator="lessThan">
      <formula>0</formula>
    </cfRule>
  </conditionalFormatting>
  <conditionalFormatting sqref="T66 R66 P66">
    <cfRule type="cellIs" dxfId="152" priority="5" operator="lessThan">
      <formula>0</formula>
    </cfRule>
  </conditionalFormatting>
  <conditionalFormatting sqref="T66 R66 P66">
    <cfRule type="cellIs" dxfId="151" priority="4" operator="lessThan">
      <formula>0</formula>
    </cfRule>
  </conditionalFormatting>
  <conditionalFormatting sqref="D11:L13 D18:L20">
    <cfRule type="cellIs" dxfId="150" priority="2" operator="equal">
      <formula>"*"</formula>
    </cfRule>
  </conditionalFormatting>
  <conditionalFormatting sqref="L31">
    <cfRule type="expression" dxfId="149" priority="1">
      <formula>"$L$30=0"</formula>
    </cfRule>
  </conditionalFormatting>
  <dataValidations disablePrompts="1" count="1">
    <dataValidation allowBlank="1" showInputMessage="1" showErrorMessage="1" prompt="SELECT A PRODUCT" sqref="C22:C23 D23:E23" xr:uid="{00000000-0002-0000-0300-000000000000}"/>
  </dataValidations>
  <printOptions horizontalCentered="1"/>
  <pageMargins left="0.3" right="0.3" top="1" bottom="0.5" header="0.25" footer="0.25"/>
  <pageSetup scale="58" fitToHeight="2" orientation="landscape" r:id="rId1"/>
  <headerFooter>
    <oddHeader>&amp;L&amp;G&amp;C&amp;"Arial,Bold"&amp;24&amp;A&amp;R&amp;"Arial,Bold"&amp;9page &amp;P of &amp;N</oddHeader>
  </headerFooter>
  <rowBreaks count="1" manualBreakCount="1">
    <brk id="46" min="2" max="20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187"/>
  <sheetViews>
    <sheetView topLeftCell="B1" workbookViewId="0"/>
  </sheetViews>
  <sheetFormatPr defaultColWidth="6.7109375" defaultRowHeight="15"/>
  <cols>
    <col min="1" max="1" width="8.42578125" style="138" hidden="1" customWidth="1"/>
    <col min="2" max="2" width="3.7109375" style="138" customWidth="1"/>
    <col min="3" max="21" width="9.7109375" style="138" customWidth="1"/>
    <col min="22" max="22" width="23.85546875" style="138" hidden="1" customWidth="1"/>
    <col min="23" max="32" width="10.7109375" style="138" customWidth="1"/>
    <col min="33" max="262" width="6.7109375" style="138"/>
    <col min="263" max="265" width="10.7109375" style="138" customWidth="1"/>
    <col min="266" max="266" width="6.7109375" style="138" customWidth="1"/>
    <col min="267" max="270" width="10.7109375" style="138" customWidth="1"/>
    <col min="271" max="271" width="3.7109375" style="138" customWidth="1"/>
    <col min="272" max="279" width="10.7109375" style="138" customWidth="1"/>
    <col min="280" max="518" width="6.7109375" style="138"/>
    <col min="519" max="521" width="10.7109375" style="138" customWidth="1"/>
    <col min="522" max="522" width="6.7109375" style="138" customWidth="1"/>
    <col min="523" max="526" width="10.7109375" style="138" customWidth="1"/>
    <col min="527" max="527" width="3.7109375" style="138" customWidth="1"/>
    <col min="528" max="535" width="10.7109375" style="138" customWidth="1"/>
    <col min="536" max="774" width="6.7109375" style="138"/>
    <col min="775" max="777" width="10.7109375" style="138" customWidth="1"/>
    <col min="778" max="778" width="6.7109375" style="138" customWidth="1"/>
    <col min="779" max="782" width="10.7109375" style="138" customWidth="1"/>
    <col min="783" max="783" width="3.7109375" style="138" customWidth="1"/>
    <col min="784" max="791" width="10.7109375" style="138" customWidth="1"/>
    <col min="792" max="1030" width="6.7109375" style="138"/>
    <col min="1031" max="1033" width="10.7109375" style="138" customWidth="1"/>
    <col min="1034" max="1034" width="6.7109375" style="138" customWidth="1"/>
    <col min="1035" max="1038" width="10.7109375" style="138" customWidth="1"/>
    <col min="1039" max="1039" width="3.7109375" style="138" customWidth="1"/>
    <col min="1040" max="1047" width="10.7109375" style="138" customWidth="1"/>
    <col min="1048" max="1286" width="6.7109375" style="138"/>
    <col min="1287" max="1289" width="10.7109375" style="138" customWidth="1"/>
    <col min="1290" max="1290" width="6.7109375" style="138" customWidth="1"/>
    <col min="1291" max="1294" width="10.7109375" style="138" customWidth="1"/>
    <col min="1295" max="1295" width="3.7109375" style="138" customWidth="1"/>
    <col min="1296" max="1303" width="10.7109375" style="138" customWidth="1"/>
    <col min="1304" max="1542" width="6.7109375" style="138"/>
    <col min="1543" max="1545" width="10.7109375" style="138" customWidth="1"/>
    <col min="1546" max="1546" width="6.7109375" style="138" customWidth="1"/>
    <col min="1547" max="1550" width="10.7109375" style="138" customWidth="1"/>
    <col min="1551" max="1551" width="3.7109375" style="138" customWidth="1"/>
    <col min="1552" max="1559" width="10.7109375" style="138" customWidth="1"/>
    <col min="1560" max="1798" width="6.7109375" style="138"/>
    <col min="1799" max="1801" width="10.7109375" style="138" customWidth="1"/>
    <col min="1802" max="1802" width="6.7109375" style="138" customWidth="1"/>
    <col min="1803" max="1806" width="10.7109375" style="138" customWidth="1"/>
    <col min="1807" max="1807" width="3.7109375" style="138" customWidth="1"/>
    <col min="1808" max="1815" width="10.7109375" style="138" customWidth="1"/>
    <col min="1816" max="2054" width="6.7109375" style="138"/>
    <col min="2055" max="2057" width="10.7109375" style="138" customWidth="1"/>
    <col min="2058" max="2058" width="6.7109375" style="138" customWidth="1"/>
    <col min="2059" max="2062" width="10.7109375" style="138" customWidth="1"/>
    <col min="2063" max="2063" width="3.7109375" style="138" customWidth="1"/>
    <col min="2064" max="2071" width="10.7109375" style="138" customWidth="1"/>
    <col min="2072" max="2310" width="6.7109375" style="138"/>
    <col min="2311" max="2313" width="10.7109375" style="138" customWidth="1"/>
    <col min="2314" max="2314" width="6.7109375" style="138" customWidth="1"/>
    <col min="2315" max="2318" width="10.7109375" style="138" customWidth="1"/>
    <col min="2319" max="2319" width="3.7109375" style="138" customWidth="1"/>
    <col min="2320" max="2327" width="10.7109375" style="138" customWidth="1"/>
    <col min="2328" max="2566" width="6.7109375" style="138"/>
    <col min="2567" max="2569" width="10.7109375" style="138" customWidth="1"/>
    <col min="2570" max="2570" width="6.7109375" style="138" customWidth="1"/>
    <col min="2571" max="2574" width="10.7109375" style="138" customWidth="1"/>
    <col min="2575" max="2575" width="3.7109375" style="138" customWidth="1"/>
    <col min="2576" max="2583" width="10.7109375" style="138" customWidth="1"/>
    <col min="2584" max="2822" width="6.7109375" style="138"/>
    <col min="2823" max="2825" width="10.7109375" style="138" customWidth="1"/>
    <col min="2826" max="2826" width="6.7109375" style="138" customWidth="1"/>
    <col min="2827" max="2830" width="10.7109375" style="138" customWidth="1"/>
    <col min="2831" max="2831" width="3.7109375" style="138" customWidth="1"/>
    <col min="2832" max="2839" width="10.7109375" style="138" customWidth="1"/>
    <col min="2840" max="3078" width="6.7109375" style="138"/>
    <col min="3079" max="3081" width="10.7109375" style="138" customWidth="1"/>
    <col min="3082" max="3082" width="6.7109375" style="138" customWidth="1"/>
    <col min="3083" max="3086" width="10.7109375" style="138" customWidth="1"/>
    <col min="3087" max="3087" width="3.7109375" style="138" customWidth="1"/>
    <col min="3088" max="3095" width="10.7109375" style="138" customWidth="1"/>
    <col min="3096" max="3334" width="6.7109375" style="138"/>
    <col min="3335" max="3337" width="10.7109375" style="138" customWidth="1"/>
    <col min="3338" max="3338" width="6.7109375" style="138" customWidth="1"/>
    <col min="3339" max="3342" width="10.7109375" style="138" customWidth="1"/>
    <col min="3343" max="3343" width="3.7109375" style="138" customWidth="1"/>
    <col min="3344" max="3351" width="10.7109375" style="138" customWidth="1"/>
    <col min="3352" max="3590" width="6.7109375" style="138"/>
    <col min="3591" max="3593" width="10.7109375" style="138" customWidth="1"/>
    <col min="3594" max="3594" width="6.7109375" style="138" customWidth="1"/>
    <col min="3595" max="3598" width="10.7109375" style="138" customWidth="1"/>
    <col min="3599" max="3599" width="3.7109375" style="138" customWidth="1"/>
    <col min="3600" max="3607" width="10.7109375" style="138" customWidth="1"/>
    <col min="3608" max="3846" width="6.7109375" style="138"/>
    <col min="3847" max="3849" width="10.7109375" style="138" customWidth="1"/>
    <col min="3850" max="3850" width="6.7109375" style="138" customWidth="1"/>
    <col min="3851" max="3854" width="10.7109375" style="138" customWidth="1"/>
    <col min="3855" max="3855" width="3.7109375" style="138" customWidth="1"/>
    <col min="3856" max="3863" width="10.7109375" style="138" customWidth="1"/>
    <col min="3864" max="4102" width="6.7109375" style="138"/>
    <col min="4103" max="4105" width="10.7109375" style="138" customWidth="1"/>
    <col min="4106" max="4106" width="6.7109375" style="138" customWidth="1"/>
    <col min="4107" max="4110" width="10.7109375" style="138" customWidth="1"/>
    <col min="4111" max="4111" width="3.7109375" style="138" customWidth="1"/>
    <col min="4112" max="4119" width="10.7109375" style="138" customWidth="1"/>
    <col min="4120" max="4358" width="6.7109375" style="138"/>
    <col min="4359" max="4361" width="10.7109375" style="138" customWidth="1"/>
    <col min="4362" max="4362" width="6.7109375" style="138" customWidth="1"/>
    <col min="4363" max="4366" width="10.7109375" style="138" customWidth="1"/>
    <col min="4367" max="4367" width="3.7109375" style="138" customWidth="1"/>
    <col min="4368" max="4375" width="10.7109375" style="138" customWidth="1"/>
    <col min="4376" max="4614" width="6.7109375" style="138"/>
    <col min="4615" max="4617" width="10.7109375" style="138" customWidth="1"/>
    <col min="4618" max="4618" width="6.7109375" style="138" customWidth="1"/>
    <col min="4619" max="4622" width="10.7109375" style="138" customWidth="1"/>
    <col min="4623" max="4623" width="3.7109375" style="138" customWidth="1"/>
    <col min="4624" max="4631" width="10.7109375" style="138" customWidth="1"/>
    <col min="4632" max="4870" width="6.7109375" style="138"/>
    <col min="4871" max="4873" width="10.7109375" style="138" customWidth="1"/>
    <col min="4874" max="4874" width="6.7109375" style="138" customWidth="1"/>
    <col min="4875" max="4878" width="10.7109375" style="138" customWidth="1"/>
    <col min="4879" max="4879" width="3.7109375" style="138" customWidth="1"/>
    <col min="4880" max="4887" width="10.7109375" style="138" customWidth="1"/>
    <col min="4888" max="5126" width="6.7109375" style="138"/>
    <col min="5127" max="5129" width="10.7109375" style="138" customWidth="1"/>
    <col min="5130" max="5130" width="6.7109375" style="138" customWidth="1"/>
    <col min="5131" max="5134" width="10.7109375" style="138" customWidth="1"/>
    <col min="5135" max="5135" width="3.7109375" style="138" customWidth="1"/>
    <col min="5136" max="5143" width="10.7109375" style="138" customWidth="1"/>
    <col min="5144" max="5382" width="6.7109375" style="138"/>
    <col min="5383" max="5385" width="10.7109375" style="138" customWidth="1"/>
    <col min="5386" max="5386" width="6.7109375" style="138" customWidth="1"/>
    <col min="5387" max="5390" width="10.7109375" style="138" customWidth="1"/>
    <col min="5391" max="5391" width="3.7109375" style="138" customWidth="1"/>
    <col min="5392" max="5399" width="10.7109375" style="138" customWidth="1"/>
    <col min="5400" max="5638" width="6.7109375" style="138"/>
    <col min="5639" max="5641" width="10.7109375" style="138" customWidth="1"/>
    <col min="5642" max="5642" width="6.7109375" style="138" customWidth="1"/>
    <col min="5643" max="5646" width="10.7109375" style="138" customWidth="1"/>
    <col min="5647" max="5647" width="3.7109375" style="138" customWidth="1"/>
    <col min="5648" max="5655" width="10.7109375" style="138" customWidth="1"/>
    <col min="5656" max="5894" width="6.7109375" style="138"/>
    <col min="5895" max="5897" width="10.7109375" style="138" customWidth="1"/>
    <col min="5898" max="5898" width="6.7109375" style="138" customWidth="1"/>
    <col min="5899" max="5902" width="10.7109375" style="138" customWidth="1"/>
    <col min="5903" max="5903" width="3.7109375" style="138" customWidth="1"/>
    <col min="5904" max="5911" width="10.7109375" style="138" customWidth="1"/>
    <col min="5912" max="6150" width="6.7109375" style="138"/>
    <col min="6151" max="6153" width="10.7109375" style="138" customWidth="1"/>
    <col min="6154" max="6154" width="6.7109375" style="138" customWidth="1"/>
    <col min="6155" max="6158" width="10.7109375" style="138" customWidth="1"/>
    <col min="6159" max="6159" width="3.7109375" style="138" customWidth="1"/>
    <col min="6160" max="6167" width="10.7109375" style="138" customWidth="1"/>
    <col min="6168" max="6406" width="6.7109375" style="138"/>
    <col min="6407" max="6409" width="10.7109375" style="138" customWidth="1"/>
    <col min="6410" max="6410" width="6.7109375" style="138" customWidth="1"/>
    <col min="6411" max="6414" width="10.7109375" style="138" customWidth="1"/>
    <col min="6415" max="6415" width="3.7109375" style="138" customWidth="1"/>
    <col min="6416" max="6423" width="10.7109375" style="138" customWidth="1"/>
    <col min="6424" max="6662" width="6.7109375" style="138"/>
    <col min="6663" max="6665" width="10.7109375" style="138" customWidth="1"/>
    <col min="6666" max="6666" width="6.7109375" style="138" customWidth="1"/>
    <col min="6667" max="6670" width="10.7109375" style="138" customWidth="1"/>
    <col min="6671" max="6671" width="3.7109375" style="138" customWidth="1"/>
    <col min="6672" max="6679" width="10.7109375" style="138" customWidth="1"/>
    <col min="6680" max="6918" width="6.7109375" style="138"/>
    <col min="6919" max="6921" width="10.7109375" style="138" customWidth="1"/>
    <col min="6922" max="6922" width="6.7109375" style="138" customWidth="1"/>
    <col min="6923" max="6926" width="10.7109375" style="138" customWidth="1"/>
    <col min="6927" max="6927" width="3.7109375" style="138" customWidth="1"/>
    <col min="6928" max="6935" width="10.7109375" style="138" customWidth="1"/>
    <col min="6936" max="7174" width="6.7109375" style="138"/>
    <col min="7175" max="7177" width="10.7109375" style="138" customWidth="1"/>
    <col min="7178" max="7178" width="6.7109375" style="138" customWidth="1"/>
    <col min="7179" max="7182" width="10.7109375" style="138" customWidth="1"/>
    <col min="7183" max="7183" width="3.7109375" style="138" customWidth="1"/>
    <col min="7184" max="7191" width="10.7109375" style="138" customWidth="1"/>
    <col min="7192" max="7430" width="6.7109375" style="138"/>
    <col min="7431" max="7433" width="10.7109375" style="138" customWidth="1"/>
    <col min="7434" max="7434" width="6.7109375" style="138" customWidth="1"/>
    <col min="7435" max="7438" width="10.7109375" style="138" customWidth="1"/>
    <col min="7439" max="7439" width="3.7109375" style="138" customWidth="1"/>
    <col min="7440" max="7447" width="10.7109375" style="138" customWidth="1"/>
    <col min="7448" max="7686" width="6.7109375" style="138"/>
    <col min="7687" max="7689" width="10.7109375" style="138" customWidth="1"/>
    <col min="7690" max="7690" width="6.7109375" style="138" customWidth="1"/>
    <col min="7691" max="7694" width="10.7109375" style="138" customWidth="1"/>
    <col min="7695" max="7695" width="3.7109375" style="138" customWidth="1"/>
    <col min="7696" max="7703" width="10.7109375" style="138" customWidth="1"/>
    <col min="7704" max="7942" width="6.7109375" style="138"/>
    <col min="7943" max="7945" width="10.7109375" style="138" customWidth="1"/>
    <col min="7946" max="7946" width="6.7109375" style="138" customWidth="1"/>
    <col min="7947" max="7950" width="10.7109375" style="138" customWidth="1"/>
    <col min="7951" max="7951" width="3.7109375" style="138" customWidth="1"/>
    <col min="7952" max="7959" width="10.7109375" style="138" customWidth="1"/>
    <col min="7960" max="8198" width="6.7109375" style="138"/>
    <col min="8199" max="8201" width="10.7109375" style="138" customWidth="1"/>
    <col min="8202" max="8202" width="6.7109375" style="138" customWidth="1"/>
    <col min="8203" max="8206" width="10.7109375" style="138" customWidth="1"/>
    <col min="8207" max="8207" width="3.7109375" style="138" customWidth="1"/>
    <col min="8208" max="8215" width="10.7109375" style="138" customWidth="1"/>
    <col min="8216" max="8454" width="6.7109375" style="138"/>
    <col min="8455" max="8457" width="10.7109375" style="138" customWidth="1"/>
    <col min="8458" max="8458" width="6.7109375" style="138" customWidth="1"/>
    <col min="8459" max="8462" width="10.7109375" style="138" customWidth="1"/>
    <col min="8463" max="8463" width="3.7109375" style="138" customWidth="1"/>
    <col min="8464" max="8471" width="10.7109375" style="138" customWidth="1"/>
    <col min="8472" max="8710" width="6.7109375" style="138"/>
    <col min="8711" max="8713" width="10.7109375" style="138" customWidth="1"/>
    <col min="8714" max="8714" width="6.7109375" style="138" customWidth="1"/>
    <col min="8715" max="8718" width="10.7109375" style="138" customWidth="1"/>
    <col min="8719" max="8719" width="3.7109375" style="138" customWidth="1"/>
    <col min="8720" max="8727" width="10.7109375" style="138" customWidth="1"/>
    <col min="8728" max="8966" width="6.7109375" style="138"/>
    <col min="8967" max="8969" width="10.7109375" style="138" customWidth="1"/>
    <col min="8970" max="8970" width="6.7109375" style="138" customWidth="1"/>
    <col min="8971" max="8974" width="10.7109375" style="138" customWidth="1"/>
    <col min="8975" max="8975" width="3.7109375" style="138" customWidth="1"/>
    <col min="8976" max="8983" width="10.7109375" style="138" customWidth="1"/>
    <col min="8984" max="9222" width="6.7109375" style="138"/>
    <col min="9223" max="9225" width="10.7109375" style="138" customWidth="1"/>
    <col min="9226" max="9226" width="6.7109375" style="138" customWidth="1"/>
    <col min="9227" max="9230" width="10.7109375" style="138" customWidth="1"/>
    <col min="9231" max="9231" width="3.7109375" style="138" customWidth="1"/>
    <col min="9232" max="9239" width="10.7109375" style="138" customWidth="1"/>
    <col min="9240" max="9478" width="6.7109375" style="138"/>
    <col min="9479" max="9481" width="10.7109375" style="138" customWidth="1"/>
    <col min="9482" max="9482" width="6.7109375" style="138" customWidth="1"/>
    <col min="9483" max="9486" width="10.7109375" style="138" customWidth="1"/>
    <col min="9487" max="9487" width="3.7109375" style="138" customWidth="1"/>
    <col min="9488" max="9495" width="10.7109375" style="138" customWidth="1"/>
    <col min="9496" max="9734" width="6.7109375" style="138"/>
    <col min="9735" max="9737" width="10.7109375" style="138" customWidth="1"/>
    <col min="9738" max="9738" width="6.7109375" style="138" customWidth="1"/>
    <col min="9739" max="9742" width="10.7109375" style="138" customWidth="1"/>
    <col min="9743" max="9743" width="3.7109375" style="138" customWidth="1"/>
    <col min="9744" max="9751" width="10.7109375" style="138" customWidth="1"/>
    <col min="9752" max="9990" width="6.7109375" style="138"/>
    <col min="9991" max="9993" width="10.7109375" style="138" customWidth="1"/>
    <col min="9994" max="9994" width="6.7109375" style="138" customWidth="1"/>
    <col min="9995" max="9998" width="10.7109375" style="138" customWidth="1"/>
    <col min="9999" max="9999" width="3.7109375" style="138" customWidth="1"/>
    <col min="10000" max="10007" width="10.7109375" style="138" customWidth="1"/>
    <col min="10008" max="10246" width="6.7109375" style="138"/>
    <col min="10247" max="10249" width="10.7109375" style="138" customWidth="1"/>
    <col min="10250" max="10250" width="6.7109375" style="138" customWidth="1"/>
    <col min="10251" max="10254" width="10.7109375" style="138" customWidth="1"/>
    <col min="10255" max="10255" width="3.7109375" style="138" customWidth="1"/>
    <col min="10256" max="10263" width="10.7109375" style="138" customWidth="1"/>
    <col min="10264" max="10502" width="6.7109375" style="138"/>
    <col min="10503" max="10505" width="10.7109375" style="138" customWidth="1"/>
    <col min="10506" max="10506" width="6.7109375" style="138" customWidth="1"/>
    <col min="10507" max="10510" width="10.7109375" style="138" customWidth="1"/>
    <col min="10511" max="10511" width="3.7109375" style="138" customWidth="1"/>
    <col min="10512" max="10519" width="10.7109375" style="138" customWidth="1"/>
    <col min="10520" max="10758" width="6.7109375" style="138"/>
    <col min="10759" max="10761" width="10.7109375" style="138" customWidth="1"/>
    <col min="10762" max="10762" width="6.7109375" style="138" customWidth="1"/>
    <col min="10763" max="10766" width="10.7109375" style="138" customWidth="1"/>
    <col min="10767" max="10767" width="3.7109375" style="138" customWidth="1"/>
    <col min="10768" max="10775" width="10.7109375" style="138" customWidth="1"/>
    <col min="10776" max="11014" width="6.7109375" style="138"/>
    <col min="11015" max="11017" width="10.7109375" style="138" customWidth="1"/>
    <col min="11018" max="11018" width="6.7109375" style="138" customWidth="1"/>
    <col min="11019" max="11022" width="10.7109375" style="138" customWidth="1"/>
    <col min="11023" max="11023" width="3.7109375" style="138" customWidth="1"/>
    <col min="11024" max="11031" width="10.7109375" style="138" customWidth="1"/>
    <col min="11032" max="11270" width="6.7109375" style="138"/>
    <col min="11271" max="11273" width="10.7109375" style="138" customWidth="1"/>
    <col min="11274" max="11274" width="6.7109375" style="138" customWidth="1"/>
    <col min="11275" max="11278" width="10.7109375" style="138" customWidth="1"/>
    <col min="11279" max="11279" width="3.7109375" style="138" customWidth="1"/>
    <col min="11280" max="11287" width="10.7109375" style="138" customWidth="1"/>
    <col min="11288" max="11526" width="6.7109375" style="138"/>
    <col min="11527" max="11529" width="10.7109375" style="138" customWidth="1"/>
    <col min="11530" max="11530" width="6.7109375" style="138" customWidth="1"/>
    <col min="11531" max="11534" width="10.7109375" style="138" customWidth="1"/>
    <col min="11535" max="11535" width="3.7109375" style="138" customWidth="1"/>
    <col min="11536" max="11543" width="10.7109375" style="138" customWidth="1"/>
    <col min="11544" max="11782" width="6.7109375" style="138"/>
    <col min="11783" max="11785" width="10.7109375" style="138" customWidth="1"/>
    <col min="11786" max="11786" width="6.7109375" style="138" customWidth="1"/>
    <col min="11787" max="11790" width="10.7109375" style="138" customWidth="1"/>
    <col min="11791" max="11791" width="3.7109375" style="138" customWidth="1"/>
    <col min="11792" max="11799" width="10.7109375" style="138" customWidth="1"/>
    <col min="11800" max="12038" width="6.7109375" style="138"/>
    <col min="12039" max="12041" width="10.7109375" style="138" customWidth="1"/>
    <col min="12042" max="12042" width="6.7109375" style="138" customWidth="1"/>
    <col min="12043" max="12046" width="10.7109375" style="138" customWidth="1"/>
    <col min="12047" max="12047" width="3.7109375" style="138" customWidth="1"/>
    <col min="12048" max="12055" width="10.7109375" style="138" customWidth="1"/>
    <col min="12056" max="12294" width="6.7109375" style="138"/>
    <col min="12295" max="12297" width="10.7109375" style="138" customWidth="1"/>
    <col min="12298" max="12298" width="6.7109375" style="138" customWidth="1"/>
    <col min="12299" max="12302" width="10.7109375" style="138" customWidth="1"/>
    <col min="12303" max="12303" width="3.7109375" style="138" customWidth="1"/>
    <col min="12304" max="12311" width="10.7109375" style="138" customWidth="1"/>
    <col min="12312" max="12550" width="6.7109375" style="138"/>
    <col min="12551" max="12553" width="10.7109375" style="138" customWidth="1"/>
    <col min="12554" max="12554" width="6.7109375" style="138" customWidth="1"/>
    <col min="12555" max="12558" width="10.7109375" style="138" customWidth="1"/>
    <col min="12559" max="12559" width="3.7109375" style="138" customWidth="1"/>
    <col min="12560" max="12567" width="10.7109375" style="138" customWidth="1"/>
    <col min="12568" max="12806" width="6.7109375" style="138"/>
    <col min="12807" max="12809" width="10.7109375" style="138" customWidth="1"/>
    <col min="12810" max="12810" width="6.7109375" style="138" customWidth="1"/>
    <col min="12811" max="12814" width="10.7109375" style="138" customWidth="1"/>
    <col min="12815" max="12815" width="3.7109375" style="138" customWidth="1"/>
    <col min="12816" max="12823" width="10.7109375" style="138" customWidth="1"/>
    <col min="12824" max="13062" width="6.7109375" style="138"/>
    <col min="13063" max="13065" width="10.7109375" style="138" customWidth="1"/>
    <col min="13066" max="13066" width="6.7109375" style="138" customWidth="1"/>
    <col min="13067" max="13070" width="10.7109375" style="138" customWidth="1"/>
    <col min="13071" max="13071" width="3.7109375" style="138" customWidth="1"/>
    <col min="13072" max="13079" width="10.7109375" style="138" customWidth="1"/>
    <col min="13080" max="13318" width="6.7109375" style="138"/>
    <col min="13319" max="13321" width="10.7109375" style="138" customWidth="1"/>
    <col min="13322" max="13322" width="6.7109375" style="138" customWidth="1"/>
    <col min="13323" max="13326" width="10.7109375" style="138" customWidth="1"/>
    <col min="13327" max="13327" width="3.7109375" style="138" customWidth="1"/>
    <col min="13328" max="13335" width="10.7109375" style="138" customWidth="1"/>
    <col min="13336" max="13574" width="6.7109375" style="138"/>
    <col min="13575" max="13577" width="10.7109375" style="138" customWidth="1"/>
    <col min="13578" max="13578" width="6.7109375" style="138" customWidth="1"/>
    <col min="13579" max="13582" width="10.7109375" style="138" customWidth="1"/>
    <col min="13583" max="13583" width="3.7109375" style="138" customWidth="1"/>
    <col min="13584" max="13591" width="10.7109375" style="138" customWidth="1"/>
    <col min="13592" max="13830" width="6.7109375" style="138"/>
    <col min="13831" max="13833" width="10.7109375" style="138" customWidth="1"/>
    <col min="13834" max="13834" width="6.7109375" style="138" customWidth="1"/>
    <col min="13835" max="13838" width="10.7109375" style="138" customWidth="1"/>
    <col min="13839" max="13839" width="3.7109375" style="138" customWidth="1"/>
    <col min="13840" max="13847" width="10.7109375" style="138" customWidth="1"/>
    <col min="13848" max="14086" width="6.7109375" style="138"/>
    <col min="14087" max="14089" width="10.7109375" style="138" customWidth="1"/>
    <col min="14090" max="14090" width="6.7109375" style="138" customWidth="1"/>
    <col min="14091" max="14094" width="10.7109375" style="138" customWidth="1"/>
    <col min="14095" max="14095" width="3.7109375" style="138" customWidth="1"/>
    <col min="14096" max="14103" width="10.7109375" style="138" customWidth="1"/>
    <col min="14104" max="14342" width="6.7109375" style="138"/>
    <col min="14343" max="14345" width="10.7109375" style="138" customWidth="1"/>
    <col min="14346" max="14346" width="6.7109375" style="138" customWidth="1"/>
    <col min="14347" max="14350" width="10.7109375" style="138" customWidth="1"/>
    <col min="14351" max="14351" width="3.7109375" style="138" customWidth="1"/>
    <col min="14352" max="14359" width="10.7109375" style="138" customWidth="1"/>
    <col min="14360" max="14598" width="6.7109375" style="138"/>
    <col min="14599" max="14601" width="10.7109375" style="138" customWidth="1"/>
    <col min="14602" max="14602" width="6.7109375" style="138" customWidth="1"/>
    <col min="14603" max="14606" width="10.7109375" style="138" customWidth="1"/>
    <col min="14607" max="14607" width="3.7109375" style="138" customWidth="1"/>
    <col min="14608" max="14615" width="10.7109375" style="138" customWidth="1"/>
    <col min="14616" max="14854" width="6.7109375" style="138"/>
    <col min="14855" max="14857" width="10.7109375" style="138" customWidth="1"/>
    <col min="14858" max="14858" width="6.7109375" style="138" customWidth="1"/>
    <col min="14859" max="14862" width="10.7109375" style="138" customWidth="1"/>
    <col min="14863" max="14863" width="3.7109375" style="138" customWidth="1"/>
    <col min="14864" max="14871" width="10.7109375" style="138" customWidth="1"/>
    <col min="14872" max="15110" width="6.7109375" style="138"/>
    <col min="15111" max="15113" width="10.7109375" style="138" customWidth="1"/>
    <col min="15114" max="15114" width="6.7109375" style="138" customWidth="1"/>
    <col min="15115" max="15118" width="10.7109375" style="138" customWidth="1"/>
    <col min="15119" max="15119" width="3.7109375" style="138" customWidth="1"/>
    <col min="15120" max="15127" width="10.7109375" style="138" customWidth="1"/>
    <col min="15128" max="15366" width="6.7109375" style="138"/>
    <col min="15367" max="15369" width="10.7109375" style="138" customWidth="1"/>
    <col min="15370" max="15370" width="6.7109375" style="138" customWidth="1"/>
    <col min="15371" max="15374" width="10.7109375" style="138" customWidth="1"/>
    <col min="15375" max="15375" width="3.7109375" style="138" customWidth="1"/>
    <col min="15376" max="15383" width="10.7109375" style="138" customWidth="1"/>
    <col min="15384" max="15622" width="6.7109375" style="138"/>
    <col min="15623" max="15625" width="10.7109375" style="138" customWidth="1"/>
    <col min="15626" max="15626" width="6.7109375" style="138" customWidth="1"/>
    <col min="15627" max="15630" width="10.7109375" style="138" customWidth="1"/>
    <col min="15631" max="15631" width="3.7109375" style="138" customWidth="1"/>
    <col min="15632" max="15639" width="10.7109375" style="138" customWidth="1"/>
    <col min="15640" max="15878" width="6.7109375" style="138"/>
    <col min="15879" max="15881" width="10.7109375" style="138" customWidth="1"/>
    <col min="15882" max="15882" width="6.7109375" style="138" customWidth="1"/>
    <col min="15883" max="15886" width="10.7109375" style="138" customWidth="1"/>
    <col min="15887" max="15887" width="3.7109375" style="138" customWidth="1"/>
    <col min="15888" max="15895" width="10.7109375" style="138" customWidth="1"/>
    <col min="15896" max="16134" width="6.7109375" style="138"/>
    <col min="16135" max="16137" width="10.7109375" style="138" customWidth="1"/>
    <col min="16138" max="16138" width="6.7109375" style="138" customWidth="1"/>
    <col min="16139" max="16142" width="10.7109375" style="138" customWidth="1"/>
    <col min="16143" max="16143" width="3.7109375" style="138" customWidth="1"/>
    <col min="16144" max="16151" width="10.7109375" style="138" customWidth="1"/>
    <col min="16152" max="16384" width="6.7109375" style="138"/>
  </cols>
  <sheetData>
    <row r="1" spans="3:32">
      <c r="C1" s="356" t="str">
        <f>VERSION</f>
        <v>version #BRANDT-X02-</v>
      </c>
      <c r="D1" s="283"/>
      <c r="E1" s="356" t="s">
        <v>239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3:32" s="17" customFormat="1" ht="20.100000000000001" customHeight="1" thickBot="1">
      <c r="C2" s="22" t="s">
        <v>43</v>
      </c>
      <c r="D2" s="20"/>
      <c r="E2" s="20"/>
      <c r="F2" s="20"/>
      <c r="G2" s="20"/>
      <c r="H2" s="20"/>
      <c r="I2" s="20"/>
      <c r="J2" s="11" t="s">
        <v>75</v>
      </c>
      <c r="K2" s="12"/>
      <c r="L2" s="12"/>
      <c r="M2" s="20"/>
      <c r="N2" s="11" t="s">
        <v>76</v>
      </c>
      <c r="O2" s="12"/>
      <c r="P2" s="12"/>
      <c r="Q2" s="14"/>
      <c r="R2" s="14"/>
      <c r="S2" s="14"/>
      <c r="T2" s="14"/>
      <c r="U2" s="14"/>
      <c r="W2" s="25"/>
      <c r="AD2" s="25"/>
      <c r="AE2" s="25"/>
      <c r="AF2" s="25"/>
    </row>
    <row r="3" spans="3:32" s="17" customFormat="1" ht="20.100000000000001" customHeight="1">
      <c r="C3" s="642"/>
      <c r="D3" s="643"/>
      <c r="E3" s="643"/>
      <c r="F3" s="643"/>
      <c r="G3" s="643"/>
      <c r="H3" s="644"/>
      <c r="I3" s="134"/>
      <c r="J3" s="636"/>
      <c r="K3" s="637"/>
      <c r="L3" s="638"/>
      <c r="M3" s="134"/>
      <c r="N3" s="636"/>
      <c r="O3" s="637"/>
      <c r="P3" s="638"/>
      <c r="Q3" s="14"/>
      <c r="R3" s="14"/>
      <c r="S3" s="14"/>
      <c r="T3" s="14"/>
      <c r="U3" s="14"/>
      <c r="W3" s="25"/>
      <c r="AD3" s="25"/>
      <c r="AE3" s="25"/>
      <c r="AF3" s="25"/>
    </row>
    <row r="4" spans="3:32" s="17" customFormat="1" ht="20.100000000000001" customHeight="1" thickBot="1">
      <c r="C4" s="645"/>
      <c r="D4" s="646"/>
      <c r="E4" s="646"/>
      <c r="F4" s="646"/>
      <c r="G4" s="646"/>
      <c r="H4" s="647"/>
      <c r="I4" s="134"/>
      <c r="J4" s="639"/>
      <c r="K4" s="640"/>
      <c r="L4" s="641"/>
      <c r="M4" s="134"/>
      <c r="N4" s="639"/>
      <c r="O4" s="640"/>
      <c r="P4" s="641"/>
      <c r="Q4" s="14"/>
      <c r="R4" s="14"/>
      <c r="S4" s="14"/>
      <c r="T4" s="14"/>
      <c r="U4" s="14"/>
      <c r="W4" s="25"/>
      <c r="AD4" s="25"/>
      <c r="AE4" s="25"/>
      <c r="AF4" s="25"/>
    </row>
    <row r="5" spans="3:32" s="17" customFormat="1" ht="20.100000000000001" customHeight="1" thickBot="1">
      <c r="C5" s="22" t="s">
        <v>231</v>
      </c>
      <c r="D5" s="20"/>
      <c r="E5" s="20"/>
      <c r="F5" s="20"/>
      <c r="G5" s="20"/>
      <c r="H5" s="20"/>
      <c r="I5" s="20"/>
      <c r="J5" s="22" t="s">
        <v>156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17" customFormat="1" ht="20.100000000000001" customHeight="1">
      <c r="C6" s="642"/>
      <c r="D6" s="643"/>
      <c r="E6" s="643"/>
      <c r="F6" s="643"/>
      <c r="G6" s="643"/>
      <c r="H6" s="644"/>
      <c r="I6" s="21"/>
      <c r="J6" s="626"/>
      <c r="K6" s="627"/>
      <c r="L6" s="627"/>
      <c r="M6" s="627"/>
      <c r="N6" s="627"/>
      <c r="O6" s="627"/>
      <c r="P6" s="627"/>
      <c r="Q6" s="627"/>
      <c r="R6" s="627"/>
      <c r="S6" s="628"/>
      <c r="T6" s="14"/>
      <c r="U6" s="14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17" customFormat="1" ht="20.100000000000001" customHeight="1" thickBot="1">
      <c r="C7" s="645"/>
      <c r="D7" s="646"/>
      <c r="E7" s="646"/>
      <c r="F7" s="646"/>
      <c r="G7" s="646"/>
      <c r="H7" s="647"/>
      <c r="I7" s="21"/>
      <c r="J7" s="629"/>
      <c r="K7" s="630"/>
      <c r="L7" s="630"/>
      <c r="M7" s="630"/>
      <c r="N7" s="630"/>
      <c r="O7" s="630"/>
      <c r="P7" s="630"/>
      <c r="Q7" s="630"/>
      <c r="R7" s="630"/>
      <c r="S7" s="631"/>
      <c r="T7" s="14"/>
      <c r="U7" s="14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17" customFormat="1" ht="19.5" customHeight="1" thickBot="1">
      <c r="C8" s="13"/>
      <c r="D8" s="15"/>
      <c r="E8" s="16"/>
      <c r="F8" s="16"/>
      <c r="G8" s="16"/>
      <c r="H8" s="20"/>
      <c r="I8" s="21"/>
      <c r="J8" s="629"/>
      <c r="K8" s="630"/>
      <c r="L8" s="630"/>
      <c r="M8" s="630"/>
      <c r="N8" s="630"/>
      <c r="O8" s="630"/>
      <c r="P8" s="630"/>
      <c r="Q8" s="630"/>
      <c r="R8" s="630"/>
      <c r="S8" s="631"/>
      <c r="T8" s="14"/>
      <c r="U8" s="14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3:32" s="17" customFormat="1" ht="20.100000000000001" customHeight="1" thickTop="1">
      <c r="C9" s="129"/>
      <c r="D9" s="651" t="s">
        <v>60</v>
      </c>
      <c r="E9" s="652"/>
      <c r="F9" s="648" t="s">
        <v>116</v>
      </c>
      <c r="G9" s="649"/>
      <c r="H9" s="129"/>
      <c r="I9" s="21"/>
      <c r="J9" s="629"/>
      <c r="K9" s="630"/>
      <c r="L9" s="630"/>
      <c r="M9" s="630"/>
      <c r="N9" s="630"/>
      <c r="O9" s="630"/>
      <c r="P9" s="630"/>
      <c r="Q9" s="630"/>
      <c r="R9" s="630"/>
      <c r="S9" s="631"/>
      <c r="T9" s="14"/>
      <c r="U9" s="14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17" customFormat="1" ht="20.100000000000001" customHeight="1" thickBot="1">
      <c r="C10" s="340"/>
      <c r="D10" s="653"/>
      <c r="E10" s="654"/>
      <c r="F10" s="72" t="s">
        <v>168</v>
      </c>
      <c r="G10" s="126" t="s">
        <v>232</v>
      </c>
      <c r="H10" s="91"/>
      <c r="I10" s="340"/>
      <c r="J10" s="632"/>
      <c r="K10" s="633"/>
      <c r="L10" s="633"/>
      <c r="M10" s="633"/>
      <c r="N10" s="633"/>
      <c r="O10" s="633"/>
      <c r="P10" s="633"/>
      <c r="Q10" s="633"/>
      <c r="R10" s="633"/>
      <c r="S10" s="634"/>
      <c r="T10" s="14"/>
      <c r="U10" s="14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3:32" s="17" customFormat="1" ht="20.100000000000001" customHeight="1" thickBot="1">
      <c r="C11" s="658" t="s">
        <v>278</v>
      </c>
      <c r="D11" s="114" t="s">
        <v>233</v>
      </c>
      <c r="E11" s="417"/>
      <c r="F11" s="80" t="s">
        <v>58</v>
      </c>
      <c r="G11" s="443">
        <f>(E11/10000)</f>
        <v>0</v>
      </c>
      <c r="H11" s="72"/>
      <c r="I11" s="340"/>
      <c r="J11" s="22" t="s">
        <v>236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3:32" s="17" customFormat="1" ht="20.100000000000001" customHeight="1" thickBot="1">
      <c r="C12" s="658"/>
      <c r="D12" s="127" t="s">
        <v>232</v>
      </c>
      <c r="E12" s="444"/>
      <c r="F12" s="419">
        <f>E12*10000</f>
        <v>0</v>
      </c>
      <c r="G12" s="128" t="s">
        <v>58</v>
      </c>
      <c r="H12" s="71"/>
      <c r="I12" s="340"/>
      <c r="J12" s="635" t="s">
        <v>112</v>
      </c>
      <c r="K12" s="635"/>
      <c r="L12" s="650"/>
      <c r="M12" s="100"/>
      <c r="N12" s="14"/>
      <c r="O12" s="14"/>
      <c r="P12" s="111"/>
      <c r="Q12" s="124" t="s">
        <v>183</v>
      </c>
      <c r="R12" s="100"/>
      <c r="S12" s="14"/>
      <c r="T12" s="14"/>
      <c r="U12" s="14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3:32" s="17" customFormat="1" ht="20.100000000000001" customHeight="1" thickTop="1" thickBot="1">
      <c r="C13" s="340"/>
      <c r="D13" s="71"/>
      <c r="E13" s="80"/>
      <c r="F13" s="125" t="s">
        <v>234</v>
      </c>
      <c r="G13" s="451"/>
      <c r="H13" s="249" t="s">
        <v>155</v>
      </c>
      <c r="I13" s="340"/>
      <c r="J13" s="635" t="s">
        <v>113</v>
      </c>
      <c r="K13" s="635"/>
      <c r="L13" s="650"/>
      <c r="M13" s="100"/>
      <c r="N13" s="14"/>
      <c r="O13" s="14"/>
      <c r="P13" s="79"/>
      <c r="Q13" s="124" t="s">
        <v>180</v>
      </c>
      <c r="R13" s="100"/>
      <c r="S13" s="14"/>
      <c r="T13" s="14"/>
      <c r="U13" s="14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3:32" s="17" customFormat="1" ht="19.5" customHeight="1" thickBot="1">
      <c r="C14" s="340"/>
      <c r="D14" s="71"/>
      <c r="E14" s="80"/>
      <c r="F14" s="125" t="s">
        <v>235</v>
      </c>
      <c r="G14" s="451"/>
      <c r="H14" s="249" t="s">
        <v>155</v>
      </c>
      <c r="I14" s="340"/>
      <c r="J14" s="635" t="s">
        <v>114</v>
      </c>
      <c r="K14" s="635"/>
      <c r="L14" s="635"/>
      <c r="M14" s="100"/>
      <c r="N14" s="135"/>
      <c r="O14" s="135"/>
      <c r="P14" s="135"/>
      <c r="Q14" s="124" t="s">
        <v>181</v>
      </c>
      <c r="R14" s="100"/>
      <c r="S14" s="14"/>
      <c r="T14" s="14"/>
      <c r="U14" s="14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3:32" s="17" customFormat="1" ht="20.100000000000001" customHeight="1" thickBot="1">
      <c r="C15" s="71"/>
      <c r="D15" s="340"/>
      <c r="E15" s="340"/>
      <c r="F15" s="340"/>
      <c r="G15" s="340"/>
      <c r="H15" s="340"/>
      <c r="I15" s="635" t="s">
        <v>115</v>
      </c>
      <c r="J15" s="635"/>
      <c r="K15" s="635"/>
      <c r="L15" s="650"/>
      <c r="M15" s="100"/>
      <c r="N15" s="340"/>
      <c r="O15" s="340"/>
      <c r="P15" s="340"/>
      <c r="Q15" s="124" t="s">
        <v>182</v>
      </c>
      <c r="R15" s="100"/>
      <c r="S15" s="135"/>
      <c r="T15" s="135"/>
      <c r="U15" s="14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3:32" s="17" customFormat="1" ht="9" customHeight="1" thickBot="1">
      <c r="C16" s="69"/>
      <c r="D16" s="24"/>
      <c r="E16" s="23"/>
      <c r="F16" s="23"/>
      <c r="G16" s="18"/>
      <c r="H16" s="19"/>
      <c r="I16" s="340"/>
      <c r="J16" s="340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17" customFormat="1" ht="19.5" customHeight="1" thickTop="1">
      <c r="C17" s="655" t="s">
        <v>242</v>
      </c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7"/>
      <c r="U17" s="340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17" customFormat="1" ht="19.5" customHeight="1" thickBot="1">
      <c r="C18" s="104" t="s">
        <v>0</v>
      </c>
      <c r="D18" s="105" t="s">
        <v>287</v>
      </c>
      <c r="E18" s="105" t="s">
        <v>288</v>
      </c>
      <c r="F18" s="105" t="s">
        <v>3</v>
      </c>
      <c r="G18" s="105" t="s">
        <v>4</v>
      </c>
      <c r="H18" s="105" t="s">
        <v>5</v>
      </c>
      <c r="I18" s="105" t="s">
        <v>8</v>
      </c>
      <c r="J18" s="105" t="s">
        <v>9</v>
      </c>
      <c r="K18" s="105" t="s">
        <v>10</v>
      </c>
      <c r="L18" s="105" t="s">
        <v>7</v>
      </c>
      <c r="M18" s="105" t="s">
        <v>6</v>
      </c>
      <c r="N18" s="105" t="s">
        <v>11</v>
      </c>
      <c r="O18" s="105" t="s">
        <v>12</v>
      </c>
      <c r="P18" s="105" t="s">
        <v>13</v>
      </c>
      <c r="Q18" s="105" t="s">
        <v>102</v>
      </c>
      <c r="R18" s="107"/>
      <c r="S18" s="119"/>
      <c r="T18" s="137"/>
      <c r="U18" s="344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17" customFormat="1" ht="19.5" customHeight="1" thickBot="1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03"/>
      <c r="S19" s="120"/>
      <c r="T19" s="103"/>
      <c r="U19" s="340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7" customFormat="1" ht="19.5" customHeight="1" thickTop="1">
      <c r="C20" s="69"/>
      <c r="D20" s="24"/>
      <c r="E20" s="23"/>
      <c r="F20" s="23"/>
      <c r="G20" s="18"/>
      <c r="H20" s="19"/>
      <c r="I20" s="340"/>
      <c r="J20" s="340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17" customFormat="1" ht="19.5" customHeight="1" thickBot="1">
      <c r="C21" s="69"/>
      <c r="D21" s="24"/>
      <c r="E21" s="23"/>
      <c r="F21" s="23"/>
      <c r="G21" s="18"/>
      <c r="H21" s="19"/>
      <c r="I21" s="340"/>
      <c r="J21" s="340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7" customFormat="1" ht="24" customHeight="1" thickTop="1">
      <c r="C22" s="622" t="s">
        <v>66</v>
      </c>
      <c r="D22" s="623"/>
      <c r="E22" s="623"/>
      <c r="F22" s="130" t="s">
        <v>241</v>
      </c>
      <c r="G22" s="610" t="s">
        <v>240</v>
      </c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2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7" customFormat="1" ht="20.100000000000001" customHeight="1" thickBot="1">
      <c r="C23" s="624"/>
      <c r="D23" s="625"/>
      <c r="E23" s="625"/>
      <c r="F23" s="75" t="s">
        <v>64</v>
      </c>
      <c r="G23" s="78" t="s">
        <v>0</v>
      </c>
      <c r="H23" s="343" t="s">
        <v>229</v>
      </c>
      <c r="I23" s="343" t="s">
        <v>230</v>
      </c>
      <c r="J23" s="343" t="s">
        <v>3</v>
      </c>
      <c r="K23" s="343" t="s">
        <v>4</v>
      </c>
      <c r="L23" s="343" t="s">
        <v>5</v>
      </c>
      <c r="M23" s="343" t="s">
        <v>8</v>
      </c>
      <c r="N23" s="343" t="s">
        <v>9</v>
      </c>
      <c r="O23" s="343" t="s">
        <v>10</v>
      </c>
      <c r="P23" s="343" t="s">
        <v>7</v>
      </c>
      <c r="Q23" s="343" t="s">
        <v>6</v>
      </c>
      <c r="R23" s="343" t="s">
        <v>11</v>
      </c>
      <c r="S23" s="343" t="s">
        <v>12</v>
      </c>
      <c r="T23" s="343" t="s">
        <v>13</v>
      </c>
      <c r="U23" s="77" t="s">
        <v>62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7" customFormat="1" ht="20.100000000000001" customHeight="1">
      <c r="A24" s="70" t="str">
        <f t="shared" ref="A24:A29" si="0">IF(($C24=id.255),3,IF(($C24=id.256),4,IF(($C24=id.215),5,IF(($C24=id.200),7,IF(($C24=id.285),10,IF(($C24=id.210),12,IF(($C24=id.106),13,IF(($C24=id.310),14,IF(($C24=id.141),15,IF(($C24=id.360),16,IF(($C24=id.245),17,IF(($C24=id.225),18,IF(($C24=id.192),19,IF(($C24=id.196),20,IF(($C24=id.330),21,IF(($C24=id.675),22,IF(($C24=id.730),23,IF(($C24=id.855),24,IF(($C24=id.180),28,IF(($C24=id.185),29,IF(($C24=id.195),30,IF(($C24=id.240),31,IF(($C24=id.300),32,IF(($C24=id.177),33,IF(($C24=id.860),35,IF(($C24=id.840),36,IF(($C24=id.865),37,IF(($C24=id.800),38,IF(($C24=id.600),41,IF(($C24=id.x1),43,IF(($C24=id.x2),44,"42")))))))))))))))))))))))))))))))</f>
        <v>42</v>
      </c>
      <c r="B24" s="70"/>
      <c r="C24" s="620" t="s">
        <v>194</v>
      </c>
      <c r="D24" s="621"/>
      <c r="E24" s="621"/>
      <c r="F24" s="140">
        <v>10</v>
      </c>
      <c r="G24" s="421" t="str">
        <f t="shared" ref="G24:G29" ca="1" si="1">IF((INDIRECT("'PRODUCT DATA'!$L"&amp;$A24&amp;""))=0,"*",((INDIRECT("'PRODUCT DATA'!$H"&amp;$A24&amp;""))*(INDIRECT("'PRODUCT DATA'!$L"&amp;$A24&amp;"")))*($F24))</f>
        <v>*</v>
      </c>
      <c r="H24" s="422" t="str">
        <f t="shared" ref="H24:H29" ca="1" si="2">IF((INDIRECT("'PRODUCT DATA'!$M"&amp;$A24&amp;""))=0,"*",((INDIRECT("'PRODUCT DATA'!$H"&amp;$A24&amp;""))*(INDIRECT("'PRODUCT DATA'!$M"&amp;$A24&amp;"")))*($F24))</f>
        <v>*</v>
      </c>
      <c r="I24" s="422" t="str">
        <f t="shared" ref="I24:I29" ca="1" si="3">IF((INDIRECT("'PRODUCT DATA'!$O"&amp;$A24&amp;""))=0,"*",((INDIRECT("'PRODUCT DATA'!$H"&amp;$A24&amp;""))*(INDIRECT("'PRODUCT DATA'!$O"&amp;$A24&amp;"")))*($F24))</f>
        <v>*</v>
      </c>
      <c r="J24" s="422" t="str">
        <f t="shared" ref="J24:J29" ca="1" si="4">IF((INDIRECT("'PRODUCT DATA'!$Q"&amp;$A24&amp;""))=0,"*",((INDIRECT("'PRODUCT DATA'!$H"&amp;$A24&amp;""))*(INDIRECT("'PRODUCT DATA'!$Q"&amp;$A24&amp;"")))*($F24))</f>
        <v>*</v>
      </c>
      <c r="K24" s="422" t="str">
        <f t="shared" ref="K24:K29" ca="1" si="5">IF((INDIRECT("'PRODUCT DATA'!$R"&amp;$A24&amp;""))=0,"*",((INDIRECT("'PRODUCT DATA'!$H"&amp;$A24&amp;""))*(INDIRECT("'PRODUCT DATA'!$R"&amp;$A24&amp;"")))*($F24))</f>
        <v>*</v>
      </c>
      <c r="L24" s="422" t="str">
        <f t="shared" ref="L24:L29" ca="1" si="6">IF((INDIRECT("'PRODUCT DATA'!$S"&amp;$A24&amp;""))=0,"*",((INDIRECT("'PRODUCT DATA'!$H"&amp;$A24&amp;""))*(INDIRECT("'PRODUCT DATA'!$S"&amp;$A24&amp;"")))*($F24))</f>
        <v>*</v>
      </c>
      <c r="M24" s="422" t="str">
        <f t="shared" ref="M24:M29" ca="1" si="7">IF((INDIRECT("'PRODUCT DATA'!$T"&amp;$A24&amp;""))=0,"*",((INDIRECT("'PRODUCT DATA'!$H"&amp;$A24&amp;""))*(INDIRECT("'PRODUCT DATA'!$T"&amp;$A24&amp;"")))*($F24))</f>
        <v>*</v>
      </c>
      <c r="N24" s="422" t="str">
        <f t="shared" ref="N24:N29" ca="1" si="8">IF((INDIRECT("'PRODUCT DATA'!$U"&amp;$A24&amp;""))=0,"*",((INDIRECT("'PRODUCT DATA'!$H"&amp;$A24&amp;""))*(INDIRECT("'PRODUCT DATA'!$U"&amp;$A24&amp;"")))*($F24))</f>
        <v>*</v>
      </c>
      <c r="O24" s="422" t="str">
        <f t="shared" ref="O24:O29" ca="1" si="9">IF((INDIRECT("'PRODUCT DATA'!$V"&amp;$A24&amp;""))=0,"*",((INDIRECT("'PRODUCT DATA'!$H"&amp;$A24&amp;""))*(INDIRECT("'PRODUCT DATA'!$V"&amp;$A24&amp;"")))*($F24))</f>
        <v>*</v>
      </c>
      <c r="P24" s="422" t="str">
        <f t="shared" ref="P24:P29" ca="1" si="10">IF((INDIRECT("'PRODUCT DATA'!$W"&amp;$A24&amp;""))=0,"*",((INDIRECT("'PRODUCT DATA'!$H"&amp;$A24&amp;""))*(INDIRECT("'PRODUCT DATA'!$W"&amp;$A24&amp;"")))*($F24))</f>
        <v>*</v>
      </c>
      <c r="Q24" s="422" t="str">
        <f t="shared" ref="Q24:Q29" ca="1" si="11">IF((INDIRECT("'PRODUCT DATA'!$X"&amp;$A24&amp;""))=0,"*",((INDIRECT("'PRODUCT DATA'!$H"&amp;$A24&amp;""))*(INDIRECT("'PRODUCT DATA'!$X"&amp;$A24&amp;"")))*($F24))</f>
        <v>*</v>
      </c>
      <c r="R24" s="423" t="str">
        <f t="shared" ref="R24:R29" ca="1" si="12">IF((INDIRECT("'PRODUCT DATA'!$Y"&amp;$A24&amp;""))=0,"*",((INDIRECT("'PRODUCT DATA'!$H"&amp;$A24&amp;""))*(INDIRECT("'PRODUCT DATA'!$Y"&amp;$A24&amp;"")))*($F24))</f>
        <v>*</v>
      </c>
      <c r="S24" s="423" t="str">
        <f t="shared" ref="S24:S29" ca="1" si="13">IF((INDIRECT("'PRODUCT DATA'!$Z"&amp;$A24&amp;""))=0,"*",((INDIRECT("'PRODUCT DATA'!$H"&amp;$A24&amp;""))*(INDIRECT("'PRODUCT DATA'!$Z"&amp;$A24&amp;"")))*($F24))</f>
        <v>*</v>
      </c>
      <c r="T24" s="423" t="str">
        <f t="shared" ref="T24:T29" ca="1" si="14">IF((INDIRECT("'PRODUCT DATA'!$AA"&amp;$A24&amp;""))=0,"*",((INDIRECT("'PRODUCT DATA'!$H"&amp;$A24&amp;""))*(INDIRECT("'PRODUCT DATA'!$AA"&amp;$A24&amp;"")))*($F24))</f>
        <v>*</v>
      </c>
      <c r="U24" s="424" t="str">
        <f t="shared" ref="U24:U29" ca="1" si="15">IF((INDIRECT("'PRODUCT DATA'!$AB"&amp;$A24&amp;""))=0,"*",((INDIRECT("'PRODUCT DATA'!$H"&amp;$A24&amp;""))*(INDIRECT("'PRODUCT DATA'!$AB"&amp;$A24&amp;"")))*($F24))</f>
        <v>*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7" customFormat="1" ht="20.100000000000001" customHeight="1">
      <c r="A25" s="70" t="str">
        <f t="shared" si="0"/>
        <v>42</v>
      </c>
      <c r="B25" s="70"/>
      <c r="C25" s="597" t="s">
        <v>192</v>
      </c>
      <c r="D25" s="598"/>
      <c r="E25" s="598"/>
      <c r="F25" s="141">
        <v>20</v>
      </c>
      <c r="G25" s="425" t="str">
        <f t="shared" ca="1" si="1"/>
        <v>*</v>
      </c>
      <c r="H25" s="426" t="str">
        <f t="shared" ca="1" si="2"/>
        <v>*</v>
      </c>
      <c r="I25" s="426" t="str">
        <f t="shared" ca="1" si="3"/>
        <v>*</v>
      </c>
      <c r="J25" s="426" t="str">
        <f t="shared" ca="1" si="4"/>
        <v>*</v>
      </c>
      <c r="K25" s="426" t="str">
        <f t="shared" ca="1" si="5"/>
        <v>*</v>
      </c>
      <c r="L25" s="426" t="str">
        <f t="shared" ca="1" si="6"/>
        <v>*</v>
      </c>
      <c r="M25" s="426" t="str">
        <f t="shared" ca="1" si="7"/>
        <v>*</v>
      </c>
      <c r="N25" s="426" t="str">
        <f t="shared" ca="1" si="8"/>
        <v>*</v>
      </c>
      <c r="O25" s="426" t="str">
        <f t="shared" ca="1" si="9"/>
        <v>*</v>
      </c>
      <c r="P25" s="426" t="str">
        <f t="shared" ca="1" si="10"/>
        <v>*</v>
      </c>
      <c r="Q25" s="426" t="str">
        <f t="shared" ca="1" si="11"/>
        <v>*</v>
      </c>
      <c r="R25" s="427" t="str">
        <f t="shared" ca="1" si="12"/>
        <v>*</v>
      </c>
      <c r="S25" s="427" t="str">
        <f t="shared" ca="1" si="13"/>
        <v>*</v>
      </c>
      <c r="T25" s="427" t="str">
        <f t="shared" ca="1" si="14"/>
        <v>*</v>
      </c>
      <c r="U25" s="428" t="str">
        <f t="shared" ca="1" si="15"/>
        <v>*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7" customFormat="1" ht="20.100000000000001" customHeight="1">
      <c r="A26" s="70">
        <f t="shared" si="0"/>
        <v>16</v>
      </c>
      <c r="B26" s="70"/>
      <c r="C26" s="597"/>
      <c r="D26" s="598"/>
      <c r="E26" s="598"/>
      <c r="F26" s="141"/>
      <c r="G26" s="429" t="str">
        <f t="shared" ca="1" si="1"/>
        <v>*</v>
      </c>
      <c r="H26" s="430" t="str">
        <f t="shared" ca="1" si="2"/>
        <v>*</v>
      </c>
      <c r="I26" s="430" t="str">
        <f t="shared" ca="1" si="3"/>
        <v>*</v>
      </c>
      <c r="J26" s="430" t="str">
        <f t="shared" ca="1" si="4"/>
        <v>*</v>
      </c>
      <c r="K26" s="430" t="str">
        <f t="shared" ca="1" si="5"/>
        <v>*</v>
      </c>
      <c r="L26" s="430" t="str">
        <f t="shared" ca="1" si="6"/>
        <v>*</v>
      </c>
      <c r="M26" s="430" t="str">
        <f t="shared" ca="1" si="7"/>
        <v>*</v>
      </c>
      <c r="N26" s="430" t="str">
        <f t="shared" ca="1" si="8"/>
        <v>*</v>
      </c>
      <c r="O26" s="430" t="str">
        <f t="shared" ca="1" si="9"/>
        <v>*</v>
      </c>
      <c r="P26" s="430" t="str">
        <f t="shared" ca="1" si="10"/>
        <v>*</v>
      </c>
      <c r="Q26" s="430" t="str">
        <f t="shared" ca="1" si="11"/>
        <v>*</v>
      </c>
      <c r="R26" s="431" t="str">
        <f t="shared" ca="1" si="12"/>
        <v>*</v>
      </c>
      <c r="S26" s="431" t="str">
        <f t="shared" ca="1" si="13"/>
        <v>*</v>
      </c>
      <c r="T26" s="431" t="str">
        <f t="shared" ca="1" si="14"/>
        <v>*</v>
      </c>
      <c r="U26" s="432" t="str">
        <f t="shared" ca="1" si="15"/>
        <v>*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7" customFormat="1" ht="20.100000000000001" customHeight="1">
      <c r="A27" s="70">
        <f t="shared" si="0"/>
        <v>16</v>
      </c>
      <c r="B27" s="70"/>
      <c r="C27" s="597"/>
      <c r="D27" s="598"/>
      <c r="E27" s="598"/>
      <c r="F27" s="141"/>
      <c r="G27" s="429" t="str">
        <f t="shared" ca="1" si="1"/>
        <v>*</v>
      </c>
      <c r="H27" s="430" t="str">
        <f t="shared" ca="1" si="2"/>
        <v>*</v>
      </c>
      <c r="I27" s="430" t="str">
        <f t="shared" ca="1" si="3"/>
        <v>*</v>
      </c>
      <c r="J27" s="430" t="str">
        <f t="shared" ca="1" si="4"/>
        <v>*</v>
      </c>
      <c r="K27" s="430" t="str">
        <f t="shared" ca="1" si="5"/>
        <v>*</v>
      </c>
      <c r="L27" s="430" t="str">
        <f t="shared" ca="1" si="6"/>
        <v>*</v>
      </c>
      <c r="M27" s="430" t="str">
        <f t="shared" ca="1" si="7"/>
        <v>*</v>
      </c>
      <c r="N27" s="430" t="str">
        <f t="shared" ca="1" si="8"/>
        <v>*</v>
      </c>
      <c r="O27" s="430" t="str">
        <f t="shared" ca="1" si="9"/>
        <v>*</v>
      </c>
      <c r="P27" s="430" t="str">
        <f t="shared" ca="1" si="10"/>
        <v>*</v>
      </c>
      <c r="Q27" s="430" t="str">
        <f t="shared" ca="1" si="11"/>
        <v>*</v>
      </c>
      <c r="R27" s="431" t="str">
        <f t="shared" ca="1" si="12"/>
        <v>*</v>
      </c>
      <c r="S27" s="431" t="str">
        <f t="shared" ca="1" si="13"/>
        <v>*</v>
      </c>
      <c r="T27" s="431" t="str">
        <f t="shared" ca="1" si="14"/>
        <v>*</v>
      </c>
      <c r="U27" s="432" t="str">
        <f t="shared" ca="1" si="15"/>
        <v>*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7" customFormat="1" ht="20.100000000000001" customHeight="1">
      <c r="A28" s="70">
        <f t="shared" si="0"/>
        <v>16</v>
      </c>
      <c r="B28" s="70"/>
      <c r="C28" s="597"/>
      <c r="D28" s="598"/>
      <c r="E28" s="598"/>
      <c r="F28" s="141"/>
      <c r="G28" s="429" t="str">
        <f t="shared" ca="1" si="1"/>
        <v>*</v>
      </c>
      <c r="H28" s="430" t="str">
        <f t="shared" ca="1" si="2"/>
        <v>*</v>
      </c>
      <c r="I28" s="430" t="str">
        <f t="shared" ca="1" si="3"/>
        <v>*</v>
      </c>
      <c r="J28" s="430" t="str">
        <f t="shared" ca="1" si="4"/>
        <v>*</v>
      </c>
      <c r="K28" s="430" t="str">
        <f t="shared" ca="1" si="5"/>
        <v>*</v>
      </c>
      <c r="L28" s="430" t="str">
        <f t="shared" ca="1" si="6"/>
        <v>*</v>
      </c>
      <c r="M28" s="430" t="str">
        <f t="shared" ca="1" si="7"/>
        <v>*</v>
      </c>
      <c r="N28" s="430" t="str">
        <f t="shared" ca="1" si="8"/>
        <v>*</v>
      </c>
      <c r="O28" s="430" t="str">
        <f t="shared" ca="1" si="9"/>
        <v>*</v>
      </c>
      <c r="P28" s="430" t="str">
        <f t="shared" ca="1" si="10"/>
        <v>*</v>
      </c>
      <c r="Q28" s="430" t="str">
        <f t="shared" ca="1" si="11"/>
        <v>*</v>
      </c>
      <c r="R28" s="431" t="str">
        <f t="shared" ca="1" si="12"/>
        <v>*</v>
      </c>
      <c r="S28" s="431" t="str">
        <f t="shared" ca="1" si="13"/>
        <v>*</v>
      </c>
      <c r="T28" s="431" t="str">
        <f t="shared" ca="1" si="14"/>
        <v>*</v>
      </c>
      <c r="U28" s="432" t="str">
        <f t="shared" ca="1" si="15"/>
        <v>*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7" customFormat="1" ht="20.100000000000001" customHeight="1" thickBot="1">
      <c r="A29" s="70">
        <f t="shared" si="0"/>
        <v>16</v>
      </c>
      <c r="B29" s="70"/>
      <c r="C29" s="601"/>
      <c r="D29" s="602"/>
      <c r="E29" s="602"/>
      <c r="F29" s="142"/>
      <c r="G29" s="433" t="str">
        <f t="shared" ca="1" si="1"/>
        <v>*</v>
      </c>
      <c r="H29" s="434" t="str">
        <f t="shared" ca="1" si="2"/>
        <v>*</v>
      </c>
      <c r="I29" s="434" t="str">
        <f t="shared" ca="1" si="3"/>
        <v>*</v>
      </c>
      <c r="J29" s="434" t="str">
        <f t="shared" ca="1" si="4"/>
        <v>*</v>
      </c>
      <c r="K29" s="434" t="str">
        <f t="shared" ca="1" si="5"/>
        <v>*</v>
      </c>
      <c r="L29" s="434" t="str">
        <f t="shared" ca="1" si="6"/>
        <v>*</v>
      </c>
      <c r="M29" s="434" t="str">
        <f t="shared" ca="1" si="7"/>
        <v>*</v>
      </c>
      <c r="N29" s="434" t="str">
        <f t="shared" ca="1" si="8"/>
        <v>*</v>
      </c>
      <c r="O29" s="434" t="str">
        <f t="shared" ca="1" si="9"/>
        <v>*</v>
      </c>
      <c r="P29" s="434" t="str">
        <f t="shared" ca="1" si="10"/>
        <v>*</v>
      </c>
      <c r="Q29" s="434" t="str">
        <f t="shared" ca="1" si="11"/>
        <v>*</v>
      </c>
      <c r="R29" s="435" t="str">
        <f t="shared" ca="1" si="12"/>
        <v>*</v>
      </c>
      <c r="S29" s="435" t="str">
        <f t="shared" ca="1" si="13"/>
        <v>*</v>
      </c>
      <c r="T29" s="435" t="str">
        <f t="shared" ca="1" si="14"/>
        <v>*</v>
      </c>
      <c r="U29" s="436" t="str">
        <f t="shared" ca="1" si="15"/>
        <v>*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20.100000000000001" customHeight="1" thickBot="1">
      <c r="C30" s="603" t="s">
        <v>139</v>
      </c>
      <c r="D30" s="604"/>
      <c r="E30" s="604"/>
      <c r="F30" s="605"/>
      <c r="G30" s="437" t="str">
        <f t="shared" ref="G30:U30" ca="1" si="16">IF(SUM(G24:G29)=0,"0",SUM(G24:G29))</f>
        <v>0</v>
      </c>
      <c r="H30" s="437" t="str">
        <f t="shared" ca="1" si="16"/>
        <v>0</v>
      </c>
      <c r="I30" s="437" t="str">
        <f t="shared" ca="1" si="16"/>
        <v>0</v>
      </c>
      <c r="J30" s="437" t="str">
        <f t="shared" ca="1" si="16"/>
        <v>0</v>
      </c>
      <c r="K30" s="437" t="str">
        <f t="shared" ca="1" si="16"/>
        <v>0</v>
      </c>
      <c r="L30" s="437" t="str">
        <f t="shared" ca="1" si="16"/>
        <v>0</v>
      </c>
      <c r="M30" s="437" t="str">
        <f t="shared" ca="1" si="16"/>
        <v>0</v>
      </c>
      <c r="N30" s="437" t="str">
        <f t="shared" ca="1" si="16"/>
        <v>0</v>
      </c>
      <c r="O30" s="437" t="str">
        <f t="shared" ca="1" si="16"/>
        <v>0</v>
      </c>
      <c r="P30" s="437" t="str">
        <f t="shared" ca="1" si="16"/>
        <v>0</v>
      </c>
      <c r="Q30" s="438" t="str">
        <f t="shared" ca="1" si="16"/>
        <v>0</v>
      </c>
      <c r="R30" s="438" t="str">
        <f t="shared" ca="1" si="16"/>
        <v>0</v>
      </c>
      <c r="S30" s="438" t="str">
        <f t="shared" ca="1" si="16"/>
        <v>0</v>
      </c>
      <c r="T30" s="438" t="str">
        <f t="shared" ca="1" si="16"/>
        <v>0</v>
      </c>
      <c r="U30" s="439" t="str">
        <f t="shared" ca="1" si="16"/>
        <v>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9.5" customHeight="1" thickTop="1">
      <c r="C31" s="607" t="s">
        <v>261</v>
      </c>
      <c r="D31" s="607"/>
      <c r="E31" s="607"/>
      <c r="F31" s="607"/>
      <c r="G31" s="440">
        <f t="shared" ref="G31:U31" ca="1" si="17">G30*$M$12</f>
        <v>0</v>
      </c>
      <c r="H31" s="440">
        <f t="shared" ca="1" si="17"/>
        <v>0</v>
      </c>
      <c r="I31" s="440">
        <f t="shared" ca="1" si="17"/>
        <v>0</v>
      </c>
      <c r="J31" s="440">
        <f t="shared" ca="1" si="17"/>
        <v>0</v>
      </c>
      <c r="K31" s="440">
        <f t="shared" ca="1" si="17"/>
        <v>0</v>
      </c>
      <c r="L31" s="440">
        <f t="shared" ca="1" si="17"/>
        <v>0</v>
      </c>
      <c r="M31" s="440">
        <f t="shared" ca="1" si="17"/>
        <v>0</v>
      </c>
      <c r="N31" s="440">
        <f t="shared" ca="1" si="17"/>
        <v>0</v>
      </c>
      <c r="O31" s="440">
        <f t="shared" ca="1" si="17"/>
        <v>0</v>
      </c>
      <c r="P31" s="440">
        <f t="shared" ca="1" si="17"/>
        <v>0</v>
      </c>
      <c r="Q31" s="441">
        <f t="shared" ca="1" si="17"/>
        <v>0</v>
      </c>
      <c r="R31" s="441">
        <f t="shared" ca="1" si="17"/>
        <v>0</v>
      </c>
      <c r="S31" s="441">
        <f t="shared" ca="1" si="17"/>
        <v>0</v>
      </c>
      <c r="T31" s="441">
        <f t="shared" ca="1" si="17"/>
        <v>0</v>
      </c>
      <c r="U31" s="441">
        <f t="shared" ca="1" si="17"/>
        <v>0</v>
      </c>
    </row>
    <row r="32" spans="1:32" ht="19.5" hidden="1" customHeight="1">
      <c r="C32" s="607"/>
      <c r="D32" s="607"/>
      <c r="E32" s="607"/>
      <c r="F32" s="607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1"/>
      <c r="R32" s="441"/>
      <c r="S32" s="441"/>
      <c r="T32" s="441"/>
      <c r="U32" s="441"/>
    </row>
    <row r="33" spans="1:21" ht="19.5" hidden="1" customHeight="1">
      <c r="C33" s="607"/>
      <c r="D33" s="607"/>
      <c r="E33" s="607"/>
      <c r="F33" s="607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ht="9" customHeight="1" thickBot="1"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24" customHeight="1" thickTop="1">
      <c r="A35" s="17"/>
      <c r="B35" s="17"/>
      <c r="C35" s="622" t="s">
        <v>67</v>
      </c>
      <c r="D35" s="623"/>
      <c r="E35" s="623"/>
      <c r="F35" s="130" t="s">
        <v>241</v>
      </c>
      <c r="G35" s="610" t="s">
        <v>240</v>
      </c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2"/>
    </row>
    <row r="36" spans="1:21" ht="19.5" customHeight="1" thickBot="1">
      <c r="A36" s="17"/>
      <c r="B36" s="17"/>
      <c r="C36" s="624"/>
      <c r="D36" s="625"/>
      <c r="E36" s="625"/>
      <c r="F36" s="75" t="s">
        <v>64</v>
      </c>
      <c r="G36" s="78" t="s">
        <v>0</v>
      </c>
      <c r="H36" s="343" t="s">
        <v>229</v>
      </c>
      <c r="I36" s="343" t="s">
        <v>230</v>
      </c>
      <c r="J36" s="343" t="s">
        <v>3</v>
      </c>
      <c r="K36" s="343" t="s">
        <v>4</v>
      </c>
      <c r="L36" s="343" t="s">
        <v>5</v>
      </c>
      <c r="M36" s="343" t="s">
        <v>8</v>
      </c>
      <c r="N36" s="343" t="s">
        <v>9</v>
      </c>
      <c r="O36" s="343" t="s">
        <v>10</v>
      </c>
      <c r="P36" s="343" t="s">
        <v>7</v>
      </c>
      <c r="Q36" s="343" t="s">
        <v>6</v>
      </c>
      <c r="R36" s="343" t="s">
        <v>11</v>
      </c>
      <c r="S36" s="343" t="s">
        <v>12</v>
      </c>
      <c r="T36" s="343" t="s">
        <v>13</v>
      </c>
      <c r="U36" s="77" t="s">
        <v>62</v>
      </c>
    </row>
    <row r="37" spans="1:21" ht="19.5" customHeight="1">
      <c r="A37" s="70">
        <f t="shared" ref="A37:A42" si="18">IF(($C37=id.255),3,IF(($C37=id.256),4,IF(($C37=id.215),5,IF(($C37=id.200),7,IF(($C37=id.285),10,IF(($C37=id.210),12,IF(($C37=id.106),13,IF(($C37=id.310),14,IF(($C37=id.141),15,IF(($C37=id.360),16,IF(($C37=id.245),17,IF(($C37=id.225),18,IF(($C37=id.192),19,IF(($C37=id.196),20,IF(($C37=id.330),21,IF(($C37=id.675),22,IF(($C37=id.730),23,IF(($C37=id.855),24,IF(($C37=id.180),28,IF(($C37=id.185),29,IF(($C37=id.195),30,IF(($C37=id.240),31,IF(($C37=id.300),32,IF(($C37=id.177),33,IF(($C37=id.860),35,IF(($C37=id.840),36,IF(($C37=id.865),37,IF(($C37=id.800),38,IF(($C37=id.600),41,IF(($C37=id.x1),43,IF(($C37=id.x2),44,"42")))))))))))))))))))))))))))))))</f>
        <v>16</v>
      </c>
      <c r="B37" s="70"/>
      <c r="C37" s="620"/>
      <c r="D37" s="621"/>
      <c r="E37" s="621"/>
      <c r="F37" s="140"/>
      <c r="G37" s="421" t="str">
        <f t="shared" ref="G37:G42" ca="1" si="19">IF((INDIRECT("'PRODUCT DATA'!$L"&amp;$A37&amp;""))=0,"*",((INDIRECT("'PRODUCT DATA'!$H"&amp;$A37&amp;""))*(INDIRECT("'PRODUCT DATA'!$L"&amp;$A37&amp;"")))*($F37))</f>
        <v>*</v>
      </c>
      <c r="H37" s="422" t="str">
        <f t="shared" ref="H37:H42" ca="1" si="20">IF((INDIRECT("'PRODUCT DATA'!$M"&amp;$A37&amp;""))=0,"*",((INDIRECT("'PRODUCT DATA'!$H"&amp;$A37&amp;""))*(INDIRECT("'PRODUCT DATA'!$M"&amp;$A37&amp;"")))*($F37))</f>
        <v>*</v>
      </c>
      <c r="I37" s="422" t="str">
        <f t="shared" ref="I37:I42" ca="1" si="21">IF((INDIRECT("'PRODUCT DATA'!$O"&amp;$A37&amp;""))=0,"*",((INDIRECT("'PRODUCT DATA'!$H"&amp;$A37&amp;""))*(INDIRECT("'PRODUCT DATA'!$O"&amp;$A37&amp;"")))*($F37))</f>
        <v>*</v>
      </c>
      <c r="J37" s="422" t="str">
        <f t="shared" ref="J37:J42" ca="1" si="22">IF((INDIRECT("'PRODUCT DATA'!$Q"&amp;$A37&amp;""))=0,"*",((INDIRECT("'PRODUCT DATA'!$H"&amp;$A37&amp;""))*(INDIRECT("'PRODUCT DATA'!$Q"&amp;$A37&amp;"")))*($F37))</f>
        <v>*</v>
      </c>
      <c r="K37" s="422" t="str">
        <f t="shared" ref="K37:K42" ca="1" si="23">IF((INDIRECT("'PRODUCT DATA'!$R"&amp;$A37&amp;""))=0,"*",((INDIRECT("'PRODUCT DATA'!$H"&amp;$A37&amp;""))*(INDIRECT("'PRODUCT DATA'!$R"&amp;$A37&amp;"")))*($F37))</f>
        <v>*</v>
      </c>
      <c r="L37" s="422" t="str">
        <f t="shared" ref="L37:L42" ca="1" si="24">IF((INDIRECT("'PRODUCT DATA'!$S"&amp;$A37&amp;""))=0,"*",((INDIRECT("'PRODUCT DATA'!$H"&amp;$A37&amp;""))*(INDIRECT("'PRODUCT DATA'!$S"&amp;$A37&amp;"")))*($F37))</f>
        <v>*</v>
      </c>
      <c r="M37" s="422" t="str">
        <f t="shared" ref="M37:M42" ca="1" si="25">IF((INDIRECT("'PRODUCT DATA'!$T"&amp;$A37&amp;""))=0,"*",((INDIRECT("'PRODUCT DATA'!$H"&amp;$A37&amp;""))*(INDIRECT("'PRODUCT DATA'!$T"&amp;$A37&amp;"")))*($F37))</f>
        <v>*</v>
      </c>
      <c r="N37" s="422" t="str">
        <f t="shared" ref="N37:N42" ca="1" si="26">IF((INDIRECT("'PRODUCT DATA'!$U"&amp;$A37&amp;""))=0,"*",((INDIRECT("'PRODUCT DATA'!$H"&amp;$A37&amp;""))*(INDIRECT("'PRODUCT DATA'!$U"&amp;$A37&amp;"")))*($F37))</f>
        <v>*</v>
      </c>
      <c r="O37" s="422" t="str">
        <f t="shared" ref="O37:O42" ca="1" si="27">IF((INDIRECT("'PRODUCT DATA'!$V"&amp;$A37&amp;""))=0,"*",((INDIRECT("'PRODUCT DATA'!$H"&amp;$A37&amp;""))*(INDIRECT("'PRODUCT DATA'!$V"&amp;$A37&amp;"")))*($F37))</f>
        <v>*</v>
      </c>
      <c r="P37" s="422" t="str">
        <f t="shared" ref="P37:P42" ca="1" si="28">IF((INDIRECT("'PRODUCT DATA'!$W"&amp;$A37&amp;""))=0,"*",((INDIRECT("'PRODUCT DATA'!$H"&amp;$A37&amp;""))*(INDIRECT("'PRODUCT DATA'!$W"&amp;$A37&amp;"")))*($F37))</f>
        <v>*</v>
      </c>
      <c r="Q37" s="422" t="str">
        <f t="shared" ref="Q37:Q42" ca="1" si="29">IF((INDIRECT("'PRODUCT DATA'!$X"&amp;$A37&amp;""))=0,"*",((INDIRECT("'PRODUCT DATA'!$H"&amp;$A37&amp;""))*(INDIRECT("'PRODUCT DATA'!$X"&amp;$A37&amp;"")))*($F37))</f>
        <v>*</v>
      </c>
      <c r="R37" s="423" t="str">
        <f t="shared" ref="R37:R42" ca="1" si="30">IF((INDIRECT("'PRODUCT DATA'!$Y"&amp;$A37&amp;""))=0,"*",((INDIRECT("'PRODUCT DATA'!$H"&amp;$A37&amp;""))*(INDIRECT("'PRODUCT DATA'!$Y"&amp;$A37&amp;"")))*($F37))</f>
        <v>*</v>
      </c>
      <c r="S37" s="423" t="str">
        <f t="shared" ref="S37:S42" ca="1" si="31">IF((INDIRECT("'PRODUCT DATA'!$Z"&amp;$A37&amp;""))=0,"*",((INDIRECT("'PRODUCT DATA'!$H"&amp;$A37&amp;""))*(INDIRECT("'PRODUCT DATA'!$Z"&amp;$A37&amp;"")))*($F37))</f>
        <v>*</v>
      </c>
      <c r="T37" s="423" t="str">
        <f t="shared" ref="T37:T42" ca="1" si="32">IF((INDIRECT("'PRODUCT DATA'!$AA"&amp;$A37&amp;""))=0,"*",((INDIRECT("'PRODUCT DATA'!$H"&amp;$A37&amp;""))*(INDIRECT("'PRODUCT DATA'!$AA"&amp;$A37&amp;"")))*($F37))</f>
        <v>*</v>
      </c>
      <c r="U37" s="424" t="str">
        <f t="shared" ref="U37:U42" ca="1" si="33">IF((INDIRECT("'PRODUCT DATA'!$AB"&amp;$A37&amp;""))=0,"*",((INDIRECT("'PRODUCT DATA'!$H"&amp;$A37&amp;""))*(INDIRECT("'PRODUCT DATA'!$AB"&amp;$A37&amp;"")))*($F37))</f>
        <v>*</v>
      </c>
    </row>
    <row r="38" spans="1:21" ht="19.5" customHeight="1">
      <c r="A38" s="70">
        <f t="shared" si="18"/>
        <v>16</v>
      </c>
      <c r="B38" s="70"/>
      <c r="C38" s="597"/>
      <c r="D38" s="598"/>
      <c r="E38" s="598"/>
      <c r="F38" s="141"/>
      <c r="G38" s="425" t="str">
        <f t="shared" ca="1" si="19"/>
        <v>*</v>
      </c>
      <c r="H38" s="426" t="str">
        <f t="shared" ca="1" si="20"/>
        <v>*</v>
      </c>
      <c r="I38" s="426" t="str">
        <f t="shared" ca="1" si="21"/>
        <v>*</v>
      </c>
      <c r="J38" s="426" t="str">
        <f t="shared" ca="1" si="22"/>
        <v>*</v>
      </c>
      <c r="K38" s="426" t="str">
        <f t="shared" ca="1" si="23"/>
        <v>*</v>
      </c>
      <c r="L38" s="426" t="str">
        <f t="shared" ca="1" si="24"/>
        <v>*</v>
      </c>
      <c r="M38" s="426" t="str">
        <f t="shared" ca="1" si="25"/>
        <v>*</v>
      </c>
      <c r="N38" s="426" t="str">
        <f t="shared" ca="1" si="26"/>
        <v>*</v>
      </c>
      <c r="O38" s="426" t="str">
        <f t="shared" ca="1" si="27"/>
        <v>*</v>
      </c>
      <c r="P38" s="426" t="str">
        <f t="shared" ca="1" si="28"/>
        <v>*</v>
      </c>
      <c r="Q38" s="426" t="str">
        <f t="shared" ca="1" si="29"/>
        <v>*</v>
      </c>
      <c r="R38" s="427" t="str">
        <f t="shared" ca="1" si="30"/>
        <v>*</v>
      </c>
      <c r="S38" s="427" t="str">
        <f t="shared" ca="1" si="31"/>
        <v>*</v>
      </c>
      <c r="T38" s="427" t="str">
        <f t="shared" ca="1" si="32"/>
        <v>*</v>
      </c>
      <c r="U38" s="428" t="str">
        <f t="shared" ca="1" si="33"/>
        <v>*</v>
      </c>
    </row>
    <row r="39" spans="1:21" ht="19.5" customHeight="1">
      <c r="A39" s="70">
        <f t="shared" si="18"/>
        <v>16</v>
      </c>
      <c r="B39" s="70"/>
      <c r="C39" s="597"/>
      <c r="D39" s="598"/>
      <c r="E39" s="598"/>
      <c r="F39" s="141"/>
      <c r="G39" s="429" t="str">
        <f t="shared" ca="1" si="19"/>
        <v>*</v>
      </c>
      <c r="H39" s="430" t="str">
        <f t="shared" ca="1" si="20"/>
        <v>*</v>
      </c>
      <c r="I39" s="430" t="str">
        <f t="shared" ca="1" si="21"/>
        <v>*</v>
      </c>
      <c r="J39" s="430" t="str">
        <f t="shared" ca="1" si="22"/>
        <v>*</v>
      </c>
      <c r="K39" s="430" t="str">
        <f t="shared" ca="1" si="23"/>
        <v>*</v>
      </c>
      <c r="L39" s="430" t="str">
        <f t="shared" ca="1" si="24"/>
        <v>*</v>
      </c>
      <c r="M39" s="430" t="str">
        <f t="shared" ca="1" si="25"/>
        <v>*</v>
      </c>
      <c r="N39" s="430" t="str">
        <f t="shared" ca="1" si="26"/>
        <v>*</v>
      </c>
      <c r="O39" s="430" t="str">
        <f t="shared" ca="1" si="27"/>
        <v>*</v>
      </c>
      <c r="P39" s="430" t="str">
        <f t="shared" ca="1" si="28"/>
        <v>*</v>
      </c>
      <c r="Q39" s="430" t="str">
        <f t="shared" ca="1" si="29"/>
        <v>*</v>
      </c>
      <c r="R39" s="431" t="str">
        <f t="shared" ca="1" si="30"/>
        <v>*</v>
      </c>
      <c r="S39" s="431" t="str">
        <f t="shared" ca="1" si="31"/>
        <v>*</v>
      </c>
      <c r="T39" s="431" t="str">
        <f t="shared" ca="1" si="32"/>
        <v>*</v>
      </c>
      <c r="U39" s="432" t="str">
        <f t="shared" ca="1" si="33"/>
        <v>*</v>
      </c>
    </row>
    <row r="40" spans="1:21" ht="19.5" customHeight="1">
      <c r="A40" s="70">
        <f t="shared" si="18"/>
        <v>16</v>
      </c>
      <c r="B40" s="70"/>
      <c r="C40" s="597"/>
      <c r="D40" s="598"/>
      <c r="E40" s="598"/>
      <c r="F40" s="141"/>
      <c r="G40" s="429" t="str">
        <f t="shared" ca="1" si="19"/>
        <v>*</v>
      </c>
      <c r="H40" s="430" t="str">
        <f t="shared" ca="1" si="20"/>
        <v>*</v>
      </c>
      <c r="I40" s="430" t="str">
        <f t="shared" ca="1" si="21"/>
        <v>*</v>
      </c>
      <c r="J40" s="430" t="str">
        <f t="shared" ca="1" si="22"/>
        <v>*</v>
      </c>
      <c r="K40" s="430" t="str">
        <f t="shared" ca="1" si="23"/>
        <v>*</v>
      </c>
      <c r="L40" s="430" t="str">
        <f t="shared" ca="1" si="24"/>
        <v>*</v>
      </c>
      <c r="M40" s="430" t="str">
        <f t="shared" ca="1" si="25"/>
        <v>*</v>
      </c>
      <c r="N40" s="430" t="str">
        <f t="shared" ca="1" si="26"/>
        <v>*</v>
      </c>
      <c r="O40" s="430" t="str">
        <f t="shared" ca="1" si="27"/>
        <v>*</v>
      </c>
      <c r="P40" s="430" t="str">
        <f t="shared" ca="1" si="28"/>
        <v>*</v>
      </c>
      <c r="Q40" s="430" t="str">
        <f t="shared" ca="1" si="29"/>
        <v>*</v>
      </c>
      <c r="R40" s="431" t="str">
        <f t="shared" ca="1" si="30"/>
        <v>*</v>
      </c>
      <c r="S40" s="431" t="str">
        <f t="shared" ca="1" si="31"/>
        <v>*</v>
      </c>
      <c r="T40" s="431" t="str">
        <f t="shared" ca="1" si="32"/>
        <v>*</v>
      </c>
      <c r="U40" s="432" t="str">
        <f t="shared" ca="1" si="33"/>
        <v>*</v>
      </c>
    </row>
    <row r="41" spans="1:21" ht="19.5" customHeight="1">
      <c r="A41" s="70">
        <f t="shared" si="18"/>
        <v>16</v>
      </c>
      <c r="B41" s="70"/>
      <c r="C41" s="597"/>
      <c r="D41" s="598"/>
      <c r="E41" s="598"/>
      <c r="F41" s="141"/>
      <c r="G41" s="429" t="str">
        <f t="shared" ca="1" si="19"/>
        <v>*</v>
      </c>
      <c r="H41" s="430" t="str">
        <f t="shared" ca="1" si="20"/>
        <v>*</v>
      </c>
      <c r="I41" s="430" t="str">
        <f t="shared" ca="1" si="21"/>
        <v>*</v>
      </c>
      <c r="J41" s="430" t="str">
        <f t="shared" ca="1" si="22"/>
        <v>*</v>
      </c>
      <c r="K41" s="430" t="str">
        <f t="shared" ca="1" si="23"/>
        <v>*</v>
      </c>
      <c r="L41" s="430" t="str">
        <f t="shared" ca="1" si="24"/>
        <v>*</v>
      </c>
      <c r="M41" s="430" t="str">
        <f t="shared" ca="1" si="25"/>
        <v>*</v>
      </c>
      <c r="N41" s="430" t="str">
        <f t="shared" ca="1" si="26"/>
        <v>*</v>
      </c>
      <c r="O41" s="430" t="str">
        <f t="shared" ca="1" si="27"/>
        <v>*</v>
      </c>
      <c r="P41" s="430" t="str">
        <f t="shared" ca="1" si="28"/>
        <v>*</v>
      </c>
      <c r="Q41" s="430" t="str">
        <f t="shared" ca="1" si="29"/>
        <v>*</v>
      </c>
      <c r="R41" s="431" t="str">
        <f t="shared" ca="1" si="30"/>
        <v>*</v>
      </c>
      <c r="S41" s="431" t="str">
        <f t="shared" ca="1" si="31"/>
        <v>*</v>
      </c>
      <c r="T41" s="431" t="str">
        <f t="shared" ca="1" si="32"/>
        <v>*</v>
      </c>
      <c r="U41" s="432" t="str">
        <f t="shared" ca="1" si="33"/>
        <v>*</v>
      </c>
    </row>
    <row r="42" spans="1:21" ht="19.5" customHeight="1" thickBot="1">
      <c r="A42" s="70">
        <f t="shared" si="18"/>
        <v>16</v>
      </c>
      <c r="B42" s="70"/>
      <c r="C42" s="601"/>
      <c r="D42" s="602"/>
      <c r="E42" s="602"/>
      <c r="F42" s="142"/>
      <c r="G42" s="433" t="str">
        <f t="shared" ca="1" si="19"/>
        <v>*</v>
      </c>
      <c r="H42" s="434" t="str">
        <f t="shared" ca="1" si="20"/>
        <v>*</v>
      </c>
      <c r="I42" s="434" t="str">
        <f t="shared" ca="1" si="21"/>
        <v>*</v>
      </c>
      <c r="J42" s="434" t="str">
        <f t="shared" ca="1" si="22"/>
        <v>*</v>
      </c>
      <c r="K42" s="434" t="str">
        <f t="shared" ca="1" si="23"/>
        <v>*</v>
      </c>
      <c r="L42" s="434" t="str">
        <f t="shared" ca="1" si="24"/>
        <v>*</v>
      </c>
      <c r="M42" s="434" t="str">
        <f t="shared" ca="1" si="25"/>
        <v>*</v>
      </c>
      <c r="N42" s="434" t="str">
        <f t="shared" ca="1" si="26"/>
        <v>*</v>
      </c>
      <c r="O42" s="434" t="str">
        <f t="shared" ca="1" si="27"/>
        <v>*</v>
      </c>
      <c r="P42" s="434" t="str">
        <f t="shared" ca="1" si="28"/>
        <v>*</v>
      </c>
      <c r="Q42" s="434" t="str">
        <f t="shared" ca="1" si="29"/>
        <v>*</v>
      </c>
      <c r="R42" s="435" t="str">
        <f t="shared" ca="1" si="30"/>
        <v>*</v>
      </c>
      <c r="S42" s="435" t="str">
        <f t="shared" ca="1" si="31"/>
        <v>*</v>
      </c>
      <c r="T42" s="435" t="str">
        <f t="shared" ca="1" si="32"/>
        <v>*</v>
      </c>
      <c r="U42" s="436" t="str">
        <f t="shared" ca="1" si="33"/>
        <v>*</v>
      </c>
    </row>
    <row r="43" spans="1:21" ht="19.5" customHeight="1" thickBot="1">
      <c r="C43" s="603" t="s">
        <v>139</v>
      </c>
      <c r="D43" s="604"/>
      <c r="E43" s="604"/>
      <c r="F43" s="605"/>
      <c r="G43" s="437" t="str">
        <f t="shared" ref="G43:U43" ca="1" si="34">IF(SUM(G37:G42)=0,"0",SUM(G37:G42))</f>
        <v>0</v>
      </c>
      <c r="H43" s="437" t="str">
        <f t="shared" ca="1" si="34"/>
        <v>0</v>
      </c>
      <c r="I43" s="437" t="str">
        <f t="shared" ca="1" si="34"/>
        <v>0</v>
      </c>
      <c r="J43" s="437" t="str">
        <f t="shared" ca="1" si="34"/>
        <v>0</v>
      </c>
      <c r="K43" s="437" t="str">
        <f t="shared" ca="1" si="34"/>
        <v>0</v>
      </c>
      <c r="L43" s="437" t="str">
        <f t="shared" ca="1" si="34"/>
        <v>0</v>
      </c>
      <c r="M43" s="437" t="str">
        <f t="shared" ca="1" si="34"/>
        <v>0</v>
      </c>
      <c r="N43" s="437" t="str">
        <f t="shared" ca="1" si="34"/>
        <v>0</v>
      </c>
      <c r="O43" s="437" t="str">
        <f t="shared" ca="1" si="34"/>
        <v>0</v>
      </c>
      <c r="P43" s="437" t="str">
        <f t="shared" ca="1" si="34"/>
        <v>0</v>
      </c>
      <c r="Q43" s="438" t="str">
        <f t="shared" ca="1" si="34"/>
        <v>0</v>
      </c>
      <c r="R43" s="438" t="str">
        <f t="shared" ca="1" si="34"/>
        <v>0</v>
      </c>
      <c r="S43" s="438" t="str">
        <f t="shared" ca="1" si="34"/>
        <v>0</v>
      </c>
      <c r="T43" s="438" t="str">
        <f t="shared" ca="1" si="34"/>
        <v>0</v>
      </c>
      <c r="U43" s="439" t="str">
        <f t="shared" ca="1" si="34"/>
        <v>0</v>
      </c>
    </row>
    <row r="44" spans="1:21" ht="19.5" customHeight="1" thickTop="1">
      <c r="C44" s="607" t="s">
        <v>261</v>
      </c>
      <c r="D44" s="607"/>
      <c r="E44" s="607"/>
      <c r="F44" s="607"/>
      <c r="G44" s="440">
        <f t="shared" ref="G44:U44" ca="1" si="35">G43*$M$13</f>
        <v>0</v>
      </c>
      <c r="H44" s="440">
        <f t="shared" ca="1" si="35"/>
        <v>0</v>
      </c>
      <c r="I44" s="440">
        <f t="shared" ca="1" si="35"/>
        <v>0</v>
      </c>
      <c r="J44" s="440">
        <f t="shared" ca="1" si="35"/>
        <v>0</v>
      </c>
      <c r="K44" s="440">
        <f t="shared" ca="1" si="35"/>
        <v>0</v>
      </c>
      <c r="L44" s="440">
        <f t="shared" ca="1" si="35"/>
        <v>0</v>
      </c>
      <c r="M44" s="440">
        <f t="shared" ca="1" si="35"/>
        <v>0</v>
      </c>
      <c r="N44" s="440">
        <f t="shared" ca="1" si="35"/>
        <v>0</v>
      </c>
      <c r="O44" s="440">
        <f t="shared" ca="1" si="35"/>
        <v>0</v>
      </c>
      <c r="P44" s="440">
        <f t="shared" ca="1" si="35"/>
        <v>0</v>
      </c>
      <c r="Q44" s="441">
        <f t="shared" ca="1" si="35"/>
        <v>0</v>
      </c>
      <c r="R44" s="441">
        <f t="shared" ca="1" si="35"/>
        <v>0</v>
      </c>
      <c r="S44" s="441">
        <f t="shared" ca="1" si="35"/>
        <v>0</v>
      </c>
      <c r="T44" s="441">
        <f t="shared" ca="1" si="35"/>
        <v>0</v>
      </c>
      <c r="U44" s="441">
        <f t="shared" ca="1" si="35"/>
        <v>0</v>
      </c>
    </row>
    <row r="45" spans="1:21" ht="19.5" hidden="1" customHeight="1">
      <c r="C45" s="607"/>
      <c r="D45" s="607"/>
      <c r="E45" s="607"/>
      <c r="F45" s="607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1"/>
      <c r="R45" s="441"/>
      <c r="S45" s="441"/>
      <c r="T45" s="441"/>
      <c r="U45" s="441"/>
    </row>
    <row r="46" spans="1:21" ht="19.5" hidden="1" customHeight="1">
      <c r="C46" s="607"/>
      <c r="D46" s="607"/>
      <c r="E46" s="607"/>
      <c r="F46" s="607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9" customHeight="1" thickBot="1"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ht="24" customHeight="1" thickTop="1">
      <c r="A48" s="17"/>
      <c r="B48" s="17"/>
      <c r="C48" s="622" t="s">
        <v>101</v>
      </c>
      <c r="D48" s="623"/>
      <c r="E48" s="623"/>
      <c r="F48" s="130" t="s">
        <v>241</v>
      </c>
      <c r="G48" s="610" t="s">
        <v>240</v>
      </c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2"/>
    </row>
    <row r="49" spans="1:21" ht="19.5" customHeight="1" thickBot="1">
      <c r="A49" s="17"/>
      <c r="B49" s="17"/>
      <c r="C49" s="624"/>
      <c r="D49" s="625"/>
      <c r="E49" s="625"/>
      <c r="F49" s="75" t="s">
        <v>64</v>
      </c>
      <c r="G49" s="78" t="s">
        <v>0</v>
      </c>
      <c r="H49" s="343" t="s">
        <v>229</v>
      </c>
      <c r="I49" s="343" t="s">
        <v>230</v>
      </c>
      <c r="J49" s="343" t="s">
        <v>3</v>
      </c>
      <c r="K49" s="343" t="s">
        <v>4</v>
      </c>
      <c r="L49" s="343" t="s">
        <v>5</v>
      </c>
      <c r="M49" s="343" t="s">
        <v>8</v>
      </c>
      <c r="N49" s="343" t="s">
        <v>9</v>
      </c>
      <c r="O49" s="343" t="s">
        <v>10</v>
      </c>
      <c r="P49" s="343" t="s">
        <v>7</v>
      </c>
      <c r="Q49" s="343" t="s">
        <v>6</v>
      </c>
      <c r="R49" s="343" t="s">
        <v>11</v>
      </c>
      <c r="S49" s="343" t="s">
        <v>12</v>
      </c>
      <c r="T49" s="343" t="s">
        <v>13</v>
      </c>
      <c r="U49" s="77" t="s">
        <v>62</v>
      </c>
    </row>
    <row r="50" spans="1:21" ht="19.5" customHeight="1">
      <c r="A50" s="70">
        <f t="shared" ref="A50:A55" si="36">IF(($C50=id.255),3,IF(($C50=id.256),4,IF(($C50=id.215),5,IF(($C50=id.200),7,IF(($C50=id.285),10,IF(($C50=id.210),12,IF(($C50=id.106),13,IF(($C50=id.310),14,IF(($C50=id.141),15,IF(($C50=id.360),16,IF(($C50=id.245),17,IF(($C50=id.225),18,IF(($C50=id.192),19,IF(($C50=id.196),20,IF(($C50=id.330),21,IF(($C50=id.675),22,IF(($C50=id.730),23,IF(($C50=id.855),24,IF(($C50=id.180),28,IF(($C50=id.185),29,IF(($C50=id.195),30,IF(($C50=id.240),31,IF(($C50=id.300),32,IF(($C50=id.177),33,IF(($C50=id.860),35,IF(($C50=id.840),36,IF(($C50=id.865),37,IF(($C50=id.800),38,IF(($C50=id.600),41,IF(($C50=id.x1),43,IF(($C50=id.x2),44,"42")))))))))))))))))))))))))))))))</f>
        <v>16</v>
      </c>
      <c r="B50" s="70"/>
      <c r="C50" s="620"/>
      <c r="D50" s="621"/>
      <c r="E50" s="621"/>
      <c r="F50" s="140"/>
      <c r="G50" s="421" t="str">
        <f t="shared" ref="G50:G55" ca="1" si="37">IF((INDIRECT("'PRODUCT DATA'!$L"&amp;$A50&amp;""))=0,"*",((INDIRECT("'PRODUCT DATA'!$H"&amp;$A50&amp;""))*(INDIRECT("'PRODUCT DATA'!$L"&amp;$A50&amp;"")))*($F50))</f>
        <v>*</v>
      </c>
      <c r="H50" s="422" t="str">
        <f t="shared" ref="H50:H55" ca="1" si="38">IF((INDIRECT("'PRODUCT DATA'!$M"&amp;$A50&amp;""))=0,"*",((INDIRECT("'PRODUCT DATA'!$H"&amp;$A50&amp;""))*(INDIRECT("'PRODUCT DATA'!$M"&amp;$A50&amp;"")))*($F50))</f>
        <v>*</v>
      </c>
      <c r="I50" s="422" t="str">
        <f t="shared" ref="I50:I55" ca="1" si="39">IF((INDIRECT("'PRODUCT DATA'!$O"&amp;$A50&amp;""))=0,"*",((INDIRECT("'PRODUCT DATA'!$H"&amp;$A50&amp;""))*(INDIRECT("'PRODUCT DATA'!$O"&amp;$A50&amp;"")))*($F50))</f>
        <v>*</v>
      </c>
      <c r="J50" s="422" t="str">
        <f t="shared" ref="J50:J55" ca="1" si="40">IF((INDIRECT("'PRODUCT DATA'!$Q"&amp;$A50&amp;""))=0,"*",((INDIRECT("'PRODUCT DATA'!$H"&amp;$A50&amp;""))*(INDIRECT("'PRODUCT DATA'!$Q"&amp;$A50&amp;"")))*($F50))</f>
        <v>*</v>
      </c>
      <c r="K50" s="422" t="str">
        <f t="shared" ref="K50:K55" ca="1" si="41">IF((INDIRECT("'PRODUCT DATA'!$R"&amp;$A50&amp;""))=0,"*",((INDIRECT("'PRODUCT DATA'!$H"&amp;$A50&amp;""))*(INDIRECT("'PRODUCT DATA'!$R"&amp;$A50&amp;"")))*($F50))</f>
        <v>*</v>
      </c>
      <c r="L50" s="422" t="str">
        <f t="shared" ref="L50:L55" ca="1" si="42">IF((INDIRECT("'PRODUCT DATA'!$S"&amp;$A50&amp;""))=0,"*",((INDIRECT("'PRODUCT DATA'!$H"&amp;$A50&amp;""))*(INDIRECT("'PRODUCT DATA'!$S"&amp;$A50&amp;"")))*($F50))</f>
        <v>*</v>
      </c>
      <c r="M50" s="422" t="str">
        <f t="shared" ref="M50:M55" ca="1" si="43">IF((INDIRECT("'PRODUCT DATA'!$T"&amp;$A50&amp;""))=0,"*",((INDIRECT("'PRODUCT DATA'!$H"&amp;$A50&amp;""))*(INDIRECT("'PRODUCT DATA'!$T"&amp;$A50&amp;"")))*($F50))</f>
        <v>*</v>
      </c>
      <c r="N50" s="422" t="str">
        <f t="shared" ref="N50:N55" ca="1" si="44">IF((INDIRECT("'PRODUCT DATA'!$U"&amp;$A50&amp;""))=0,"*",((INDIRECT("'PRODUCT DATA'!$H"&amp;$A50&amp;""))*(INDIRECT("'PRODUCT DATA'!$U"&amp;$A50&amp;"")))*($F50))</f>
        <v>*</v>
      </c>
      <c r="O50" s="422" t="str">
        <f t="shared" ref="O50:O55" ca="1" si="45">IF((INDIRECT("'PRODUCT DATA'!$V"&amp;$A50&amp;""))=0,"*",((INDIRECT("'PRODUCT DATA'!$H"&amp;$A50&amp;""))*(INDIRECT("'PRODUCT DATA'!$V"&amp;$A50&amp;"")))*($F50))</f>
        <v>*</v>
      </c>
      <c r="P50" s="422" t="str">
        <f t="shared" ref="P50:P55" ca="1" si="46">IF((INDIRECT("'PRODUCT DATA'!$W"&amp;$A50&amp;""))=0,"*",((INDIRECT("'PRODUCT DATA'!$H"&amp;$A50&amp;""))*(INDIRECT("'PRODUCT DATA'!$W"&amp;$A50&amp;"")))*($F50))</f>
        <v>*</v>
      </c>
      <c r="Q50" s="422" t="str">
        <f t="shared" ref="Q50:Q55" ca="1" si="47">IF((INDIRECT("'PRODUCT DATA'!$X"&amp;$A50&amp;""))=0,"*",((INDIRECT("'PRODUCT DATA'!$H"&amp;$A50&amp;""))*(INDIRECT("'PRODUCT DATA'!$X"&amp;$A50&amp;"")))*($F50))</f>
        <v>*</v>
      </c>
      <c r="R50" s="423" t="str">
        <f t="shared" ref="R50:R55" ca="1" si="48">IF((INDIRECT("'PRODUCT DATA'!$Y"&amp;$A50&amp;""))=0,"*",((INDIRECT("'PRODUCT DATA'!$H"&amp;$A50&amp;""))*(INDIRECT("'PRODUCT DATA'!$Y"&amp;$A50&amp;"")))*($F50))</f>
        <v>*</v>
      </c>
      <c r="S50" s="423" t="str">
        <f t="shared" ref="S50:S55" ca="1" si="49">IF((INDIRECT("'PRODUCT DATA'!$Z"&amp;$A50&amp;""))=0,"*",((INDIRECT("'PRODUCT DATA'!$H"&amp;$A50&amp;""))*(INDIRECT("'PRODUCT DATA'!$Z"&amp;$A50&amp;"")))*($F50))</f>
        <v>*</v>
      </c>
      <c r="T50" s="423" t="str">
        <f t="shared" ref="T50:T55" ca="1" si="50">IF((INDIRECT("'PRODUCT DATA'!$AA"&amp;$A50&amp;""))=0,"*",((INDIRECT("'PRODUCT DATA'!$H"&amp;$A50&amp;""))*(INDIRECT("'PRODUCT DATA'!$AA"&amp;$A50&amp;"")))*($F50))</f>
        <v>*</v>
      </c>
      <c r="U50" s="424" t="str">
        <f t="shared" ref="U50:U55" ca="1" si="51">IF((INDIRECT("'PRODUCT DATA'!$AB"&amp;$A50&amp;""))=0,"*",((INDIRECT("'PRODUCT DATA'!$H"&amp;$A50&amp;""))*(INDIRECT("'PRODUCT DATA'!$AB"&amp;$A50&amp;"")))*($F50))</f>
        <v>*</v>
      </c>
    </row>
    <row r="51" spans="1:21" ht="19.5" customHeight="1">
      <c r="A51" s="70">
        <f t="shared" si="36"/>
        <v>16</v>
      </c>
      <c r="B51" s="70"/>
      <c r="C51" s="597"/>
      <c r="D51" s="598"/>
      <c r="E51" s="598"/>
      <c r="F51" s="141"/>
      <c r="G51" s="425" t="str">
        <f t="shared" ca="1" si="37"/>
        <v>*</v>
      </c>
      <c r="H51" s="426" t="str">
        <f t="shared" ca="1" si="38"/>
        <v>*</v>
      </c>
      <c r="I51" s="426" t="str">
        <f t="shared" ca="1" si="39"/>
        <v>*</v>
      </c>
      <c r="J51" s="426" t="str">
        <f t="shared" ca="1" si="40"/>
        <v>*</v>
      </c>
      <c r="K51" s="426" t="str">
        <f t="shared" ca="1" si="41"/>
        <v>*</v>
      </c>
      <c r="L51" s="426" t="str">
        <f t="shared" ca="1" si="42"/>
        <v>*</v>
      </c>
      <c r="M51" s="426" t="str">
        <f t="shared" ca="1" si="43"/>
        <v>*</v>
      </c>
      <c r="N51" s="426" t="str">
        <f t="shared" ca="1" si="44"/>
        <v>*</v>
      </c>
      <c r="O51" s="426" t="str">
        <f t="shared" ca="1" si="45"/>
        <v>*</v>
      </c>
      <c r="P51" s="426" t="str">
        <f t="shared" ca="1" si="46"/>
        <v>*</v>
      </c>
      <c r="Q51" s="426" t="str">
        <f t="shared" ca="1" si="47"/>
        <v>*</v>
      </c>
      <c r="R51" s="427" t="str">
        <f t="shared" ca="1" si="48"/>
        <v>*</v>
      </c>
      <c r="S51" s="427" t="str">
        <f t="shared" ca="1" si="49"/>
        <v>*</v>
      </c>
      <c r="T51" s="427" t="str">
        <f t="shared" ca="1" si="50"/>
        <v>*</v>
      </c>
      <c r="U51" s="428" t="str">
        <f t="shared" ca="1" si="51"/>
        <v>*</v>
      </c>
    </row>
    <row r="52" spans="1:21" ht="19.5" customHeight="1">
      <c r="A52" s="70">
        <f t="shared" si="36"/>
        <v>16</v>
      </c>
      <c r="B52" s="70"/>
      <c r="C52" s="597"/>
      <c r="D52" s="598"/>
      <c r="E52" s="598"/>
      <c r="F52" s="141"/>
      <c r="G52" s="429" t="str">
        <f t="shared" ca="1" si="37"/>
        <v>*</v>
      </c>
      <c r="H52" s="430" t="str">
        <f t="shared" ca="1" si="38"/>
        <v>*</v>
      </c>
      <c r="I52" s="430" t="str">
        <f t="shared" ca="1" si="39"/>
        <v>*</v>
      </c>
      <c r="J52" s="430" t="str">
        <f t="shared" ca="1" si="40"/>
        <v>*</v>
      </c>
      <c r="K52" s="430" t="str">
        <f t="shared" ca="1" si="41"/>
        <v>*</v>
      </c>
      <c r="L52" s="430" t="str">
        <f t="shared" ca="1" si="42"/>
        <v>*</v>
      </c>
      <c r="M52" s="430" t="str">
        <f t="shared" ca="1" si="43"/>
        <v>*</v>
      </c>
      <c r="N52" s="430" t="str">
        <f t="shared" ca="1" si="44"/>
        <v>*</v>
      </c>
      <c r="O52" s="430" t="str">
        <f t="shared" ca="1" si="45"/>
        <v>*</v>
      </c>
      <c r="P52" s="430" t="str">
        <f t="shared" ca="1" si="46"/>
        <v>*</v>
      </c>
      <c r="Q52" s="430" t="str">
        <f t="shared" ca="1" si="47"/>
        <v>*</v>
      </c>
      <c r="R52" s="431" t="str">
        <f t="shared" ca="1" si="48"/>
        <v>*</v>
      </c>
      <c r="S52" s="431" t="str">
        <f t="shared" ca="1" si="49"/>
        <v>*</v>
      </c>
      <c r="T52" s="431" t="str">
        <f t="shared" ca="1" si="50"/>
        <v>*</v>
      </c>
      <c r="U52" s="432" t="str">
        <f t="shared" ca="1" si="51"/>
        <v>*</v>
      </c>
    </row>
    <row r="53" spans="1:21" ht="19.5" customHeight="1">
      <c r="A53" s="70">
        <f t="shared" si="36"/>
        <v>16</v>
      </c>
      <c r="B53" s="70"/>
      <c r="C53" s="597"/>
      <c r="D53" s="598"/>
      <c r="E53" s="598"/>
      <c r="F53" s="141"/>
      <c r="G53" s="429" t="str">
        <f t="shared" ca="1" si="37"/>
        <v>*</v>
      </c>
      <c r="H53" s="430" t="str">
        <f t="shared" ca="1" si="38"/>
        <v>*</v>
      </c>
      <c r="I53" s="430" t="str">
        <f t="shared" ca="1" si="39"/>
        <v>*</v>
      </c>
      <c r="J53" s="430" t="str">
        <f t="shared" ca="1" si="40"/>
        <v>*</v>
      </c>
      <c r="K53" s="430" t="str">
        <f t="shared" ca="1" si="41"/>
        <v>*</v>
      </c>
      <c r="L53" s="430" t="str">
        <f t="shared" ca="1" si="42"/>
        <v>*</v>
      </c>
      <c r="M53" s="430" t="str">
        <f t="shared" ca="1" si="43"/>
        <v>*</v>
      </c>
      <c r="N53" s="430" t="str">
        <f t="shared" ca="1" si="44"/>
        <v>*</v>
      </c>
      <c r="O53" s="430" t="str">
        <f t="shared" ca="1" si="45"/>
        <v>*</v>
      </c>
      <c r="P53" s="430" t="str">
        <f t="shared" ca="1" si="46"/>
        <v>*</v>
      </c>
      <c r="Q53" s="430" t="str">
        <f t="shared" ca="1" si="47"/>
        <v>*</v>
      </c>
      <c r="R53" s="431" t="str">
        <f t="shared" ca="1" si="48"/>
        <v>*</v>
      </c>
      <c r="S53" s="431" t="str">
        <f t="shared" ca="1" si="49"/>
        <v>*</v>
      </c>
      <c r="T53" s="431" t="str">
        <f t="shared" ca="1" si="50"/>
        <v>*</v>
      </c>
      <c r="U53" s="432" t="str">
        <f t="shared" ca="1" si="51"/>
        <v>*</v>
      </c>
    </row>
    <row r="54" spans="1:21" ht="19.5" customHeight="1">
      <c r="A54" s="70">
        <f t="shared" si="36"/>
        <v>16</v>
      </c>
      <c r="B54" s="70"/>
      <c r="C54" s="597"/>
      <c r="D54" s="598"/>
      <c r="E54" s="598"/>
      <c r="F54" s="141"/>
      <c r="G54" s="429" t="str">
        <f t="shared" ca="1" si="37"/>
        <v>*</v>
      </c>
      <c r="H54" s="430" t="str">
        <f t="shared" ca="1" si="38"/>
        <v>*</v>
      </c>
      <c r="I54" s="430" t="str">
        <f t="shared" ca="1" si="39"/>
        <v>*</v>
      </c>
      <c r="J54" s="430" t="str">
        <f t="shared" ca="1" si="40"/>
        <v>*</v>
      </c>
      <c r="K54" s="430" t="str">
        <f t="shared" ca="1" si="41"/>
        <v>*</v>
      </c>
      <c r="L54" s="430" t="str">
        <f t="shared" ca="1" si="42"/>
        <v>*</v>
      </c>
      <c r="M54" s="430" t="str">
        <f t="shared" ca="1" si="43"/>
        <v>*</v>
      </c>
      <c r="N54" s="430" t="str">
        <f t="shared" ca="1" si="44"/>
        <v>*</v>
      </c>
      <c r="O54" s="430" t="str">
        <f t="shared" ca="1" si="45"/>
        <v>*</v>
      </c>
      <c r="P54" s="430" t="str">
        <f t="shared" ca="1" si="46"/>
        <v>*</v>
      </c>
      <c r="Q54" s="430" t="str">
        <f t="shared" ca="1" si="47"/>
        <v>*</v>
      </c>
      <c r="R54" s="431" t="str">
        <f t="shared" ca="1" si="48"/>
        <v>*</v>
      </c>
      <c r="S54" s="431" t="str">
        <f t="shared" ca="1" si="49"/>
        <v>*</v>
      </c>
      <c r="T54" s="431" t="str">
        <f t="shared" ca="1" si="50"/>
        <v>*</v>
      </c>
      <c r="U54" s="432" t="str">
        <f t="shared" ca="1" si="51"/>
        <v>*</v>
      </c>
    </row>
    <row r="55" spans="1:21" ht="19.5" customHeight="1" thickBot="1">
      <c r="A55" s="70">
        <f t="shared" si="36"/>
        <v>16</v>
      </c>
      <c r="B55" s="70"/>
      <c r="C55" s="601"/>
      <c r="D55" s="602"/>
      <c r="E55" s="602"/>
      <c r="F55" s="142"/>
      <c r="G55" s="433" t="str">
        <f t="shared" ca="1" si="37"/>
        <v>*</v>
      </c>
      <c r="H55" s="434" t="str">
        <f t="shared" ca="1" si="38"/>
        <v>*</v>
      </c>
      <c r="I55" s="434" t="str">
        <f t="shared" ca="1" si="39"/>
        <v>*</v>
      </c>
      <c r="J55" s="434" t="str">
        <f t="shared" ca="1" si="40"/>
        <v>*</v>
      </c>
      <c r="K55" s="434" t="str">
        <f t="shared" ca="1" si="41"/>
        <v>*</v>
      </c>
      <c r="L55" s="434" t="str">
        <f t="shared" ca="1" si="42"/>
        <v>*</v>
      </c>
      <c r="M55" s="434" t="str">
        <f t="shared" ca="1" si="43"/>
        <v>*</v>
      </c>
      <c r="N55" s="434" t="str">
        <f t="shared" ca="1" si="44"/>
        <v>*</v>
      </c>
      <c r="O55" s="434" t="str">
        <f t="shared" ca="1" si="45"/>
        <v>*</v>
      </c>
      <c r="P55" s="434" t="str">
        <f t="shared" ca="1" si="46"/>
        <v>*</v>
      </c>
      <c r="Q55" s="434" t="str">
        <f t="shared" ca="1" si="47"/>
        <v>*</v>
      </c>
      <c r="R55" s="435" t="str">
        <f t="shared" ca="1" si="48"/>
        <v>*</v>
      </c>
      <c r="S55" s="435" t="str">
        <f t="shared" ca="1" si="49"/>
        <v>*</v>
      </c>
      <c r="T55" s="435" t="str">
        <f t="shared" ca="1" si="50"/>
        <v>*</v>
      </c>
      <c r="U55" s="436" t="str">
        <f t="shared" ca="1" si="51"/>
        <v>*</v>
      </c>
    </row>
    <row r="56" spans="1:21" ht="19.5" customHeight="1" thickBot="1">
      <c r="C56" s="603" t="s">
        <v>139</v>
      </c>
      <c r="D56" s="604"/>
      <c r="E56" s="604"/>
      <c r="F56" s="605"/>
      <c r="G56" s="437" t="str">
        <f t="shared" ref="G56:U56" ca="1" si="52">IF(SUM(G50:G55)=0,"0",SUM(G50:G55))</f>
        <v>0</v>
      </c>
      <c r="H56" s="437" t="str">
        <f t="shared" ca="1" si="52"/>
        <v>0</v>
      </c>
      <c r="I56" s="437" t="str">
        <f t="shared" ca="1" si="52"/>
        <v>0</v>
      </c>
      <c r="J56" s="437" t="str">
        <f t="shared" ca="1" si="52"/>
        <v>0</v>
      </c>
      <c r="K56" s="437" t="str">
        <f t="shared" ca="1" si="52"/>
        <v>0</v>
      </c>
      <c r="L56" s="437" t="str">
        <f t="shared" ca="1" si="52"/>
        <v>0</v>
      </c>
      <c r="M56" s="437" t="str">
        <f t="shared" ca="1" si="52"/>
        <v>0</v>
      </c>
      <c r="N56" s="437" t="str">
        <f t="shared" ca="1" si="52"/>
        <v>0</v>
      </c>
      <c r="O56" s="437" t="str">
        <f t="shared" ca="1" si="52"/>
        <v>0</v>
      </c>
      <c r="P56" s="437" t="str">
        <f t="shared" ca="1" si="52"/>
        <v>0</v>
      </c>
      <c r="Q56" s="438" t="str">
        <f t="shared" ca="1" si="52"/>
        <v>0</v>
      </c>
      <c r="R56" s="438" t="str">
        <f t="shared" ca="1" si="52"/>
        <v>0</v>
      </c>
      <c r="S56" s="438" t="str">
        <f t="shared" ca="1" si="52"/>
        <v>0</v>
      </c>
      <c r="T56" s="438" t="str">
        <f t="shared" ca="1" si="52"/>
        <v>0</v>
      </c>
      <c r="U56" s="439" t="str">
        <f t="shared" ca="1" si="52"/>
        <v>0</v>
      </c>
    </row>
    <row r="57" spans="1:21" ht="19.5" customHeight="1" thickTop="1">
      <c r="C57" s="607" t="s">
        <v>261</v>
      </c>
      <c r="D57" s="607"/>
      <c r="E57" s="607"/>
      <c r="F57" s="607"/>
      <c r="G57" s="440">
        <f t="shared" ref="G57:U57" ca="1" si="53">G56*$M$14</f>
        <v>0</v>
      </c>
      <c r="H57" s="440">
        <f t="shared" ca="1" si="53"/>
        <v>0</v>
      </c>
      <c r="I57" s="440">
        <f t="shared" ca="1" si="53"/>
        <v>0</v>
      </c>
      <c r="J57" s="440">
        <f t="shared" ca="1" si="53"/>
        <v>0</v>
      </c>
      <c r="K57" s="440">
        <f t="shared" ca="1" si="53"/>
        <v>0</v>
      </c>
      <c r="L57" s="440">
        <f t="shared" ca="1" si="53"/>
        <v>0</v>
      </c>
      <c r="M57" s="440">
        <f t="shared" ca="1" si="53"/>
        <v>0</v>
      </c>
      <c r="N57" s="440">
        <f t="shared" ca="1" si="53"/>
        <v>0</v>
      </c>
      <c r="O57" s="440">
        <f t="shared" ca="1" si="53"/>
        <v>0</v>
      </c>
      <c r="P57" s="440">
        <f t="shared" ca="1" si="53"/>
        <v>0</v>
      </c>
      <c r="Q57" s="441">
        <f t="shared" ca="1" si="53"/>
        <v>0</v>
      </c>
      <c r="R57" s="441">
        <f t="shared" ca="1" si="53"/>
        <v>0</v>
      </c>
      <c r="S57" s="441">
        <f t="shared" ca="1" si="53"/>
        <v>0</v>
      </c>
      <c r="T57" s="441">
        <f t="shared" ca="1" si="53"/>
        <v>0</v>
      </c>
      <c r="U57" s="441">
        <f t="shared" ca="1" si="53"/>
        <v>0</v>
      </c>
    </row>
    <row r="58" spans="1:21" ht="19.5" hidden="1" customHeight="1">
      <c r="C58" s="607"/>
      <c r="D58" s="607"/>
      <c r="E58" s="607"/>
      <c r="F58" s="607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1"/>
      <c r="R58" s="441"/>
      <c r="S58" s="441"/>
      <c r="T58" s="441"/>
      <c r="U58" s="441"/>
    </row>
    <row r="59" spans="1:21" ht="9.75" customHeight="1" thickBot="1">
      <c r="C59" s="607"/>
      <c r="D59" s="607"/>
      <c r="E59" s="607"/>
      <c r="F59" s="607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1" ht="24" customHeight="1" thickTop="1">
      <c r="A60" s="17"/>
      <c r="B60" s="17"/>
      <c r="C60" s="661" t="s">
        <v>204</v>
      </c>
      <c r="D60" s="662"/>
      <c r="E60" s="662"/>
      <c r="F60" s="130" t="s">
        <v>241</v>
      </c>
      <c r="G60" s="610" t="s">
        <v>240</v>
      </c>
      <c r="H60" s="611"/>
      <c r="I60" s="611"/>
      <c r="J60" s="611"/>
      <c r="K60" s="611"/>
      <c r="L60" s="611"/>
      <c r="M60" s="611"/>
      <c r="N60" s="611"/>
      <c r="O60" s="611"/>
      <c r="P60" s="611"/>
      <c r="Q60" s="611"/>
      <c r="R60" s="611"/>
      <c r="S60" s="611"/>
      <c r="T60" s="611"/>
      <c r="U60" s="612"/>
    </row>
    <row r="61" spans="1:21" ht="19.5" customHeight="1" thickBot="1">
      <c r="A61" s="17"/>
      <c r="B61" s="17"/>
      <c r="C61" s="663"/>
      <c r="D61" s="664"/>
      <c r="E61" s="664"/>
      <c r="F61" s="75" t="s">
        <v>64</v>
      </c>
      <c r="G61" s="78" t="s">
        <v>0</v>
      </c>
      <c r="H61" s="343" t="s">
        <v>229</v>
      </c>
      <c r="I61" s="343" t="s">
        <v>230</v>
      </c>
      <c r="J61" s="343" t="s">
        <v>3</v>
      </c>
      <c r="K61" s="343" t="s">
        <v>4</v>
      </c>
      <c r="L61" s="343" t="s">
        <v>5</v>
      </c>
      <c r="M61" s="343" t="s">
        <v>8</v>
      </c>
      <c r="N61" s="343" t="s">
        <v>9</v>
      </c>
      <c r="O61" s="343" t="s">
        <v>10</v>
      </c>
      <c r="P61" s="343" t="s">
        <v>7</v>
      </c>
      <c r="Q61" s="343" t="s">
        <v>6</v>
      </c>
      <c r="R61" s="343" t="s">
        <v>11</v>
      </c>
      <c r="S61" s="343" t="s">
        <v>12</v>
      </c>
      <c r="T61" s="343" t="s">
        <v>13</v>
      </c>
      <c r="U61" s="77" t="s">
        <v>62</v>
      </c>
    </row>
    <row r="62" spans="1:21" ht="19.5" customHeight="1">
      <c r="A62" s="70">
        <f t="shared" ref="A62:A67" si="54">IF(($C62=id.255),3,IF(($C62=id.256),4,IF(($C62=id.215),5,IF(($C62=id.200),7,IF(($C62=id.285),10,IF(($C62=id.210),12,IF(($C62=id.106),13,IF(($C62=id.310),14,IF(($C62=id.141),15,IF(($C62=id.360),16,IF(($C62=id.245),17,IF(($C62=id.225),18,IF(($C62=id.192),19,IF(($C62=id.196),20,IF(($C62=id.330),21,IF(($C62=id.675),22,IF(($C62=id.730),23,IF(($C62=id.855),24,IF(($C62=id.180),28,IF(($C62=id.185),29,IF(($C62=id.195),30,IF(($C62=id.240),31,IF(($C62=id.300),32,IF(($C62=id.177),33,IF(($C62=id.860),35,IF(($C62=id.840),36,IF(($C62=id.865),37,IF(($C62=id.800),38,IF(($C62=id.600),41,IF(($C62=id.x1),43,IF(($C62=id.x2),44,"42")))))))))))))))))))))))))))))))</f>
        <v>16</v>
      </c>
      <c r="B62" s="70"/>
      <c r="C62" s="620"/>
      <c r="D62" s="621"/>
      <c r="E62" s="621"/>
      <c r="F62" s="140"/>
      <c r="G62" s="421" t="str">
        <f t="shared" ref="G62:G67" ca="1" si="55">IF((INDIRECT("'PRODUCT DATA'!$L"&amp;$A62&amp;""))=0,"*",((INDIRECT("'PRODUCT DATA'!$H"&amp;$A62&amp;""))*(INDIRECT("'PRODUCT DATA'!$L"&amp;$A62&amp;"")))*($F62))</f>
        <v>*</v>
      </c>
      <c r="H62" s="422" t="str">
        <f t="shared" ref="H62:H67" ca="1" si="56">IF((INDIRECT("'PRODUCT DATA'!$M"&amp;$A62&amp;""))=0,"*",((INDIRECT("'PRODUCT DATA'!$H"&amp;$A62&amp;""))*(INDIRECT("'PRODUCT DATA'!$M"&amp;$A62&amp;"")))*($F62))</f>
        <v>*</v>
      </c>
      <c r="I62" s="422" t="str">
        <f t="shared" ref="I62:I67" ca="1" si="57">IF((INDIRECT("'PRODUCT DATA'!$O"&amp;$A62&amp;""))=0,"*",((INDIRECT("'PRODUCT DATA'!$H"&amp;$A62&amp;""))*(INDIRECT("'PRODUCT DATA'!$O"&amp;$A62&amp;"")))*($F62))</f>
        <v>*</v>
      </c>
      <c r="J62" s="422" t="str">
        <f t="shared" ref="J62:J67" ca="1" si="58">IF((INDIRECT("'PRODUCT DATA'!$Q"&amp;$A62&amp;""))=0,"*",((INDIRECT("'PRODUCT DATA'!$H"&amp;$A62&amp;""))*(INDIRECT("'PRODUCT DATA'!$Q"&amp;$A62&amp;"")))*($F62))</f>
        <v>*</v>
      </c>
      <c r="K62" s="422" t="str">
        <f t="shared" ref="K62:K67" ca="1" si="59">IF((INDIRECT("'PRODUCT DATA'!$R"&amp;$A62&amp;""))=0,"*",((INDIRECT("'PRODUCT DATA'!$H"&amp;$A62&amp;""))*(INDIRECT("'PRODUCT DATA'!$R"&amp;$A62&amp;"")))*($F62))</f>
        <v>*</v>
      </c>
      <c r="L62" s="422" t="str">
        <f t="shared" ref="L62:L67" ca="1" si="60">IF((INDIRECT("'PRODUCT DATA'!$S"&amp;$A62&amp;""))=0,"*",((INDIRECT("'PRODUCT DATA'!$H"&amp;$A62&amp;""))*(INDIRECT("'PRODUCT DATA'!$S"&amp;$A62&amp;"")))*($F62))</f>
        <v>*</v>
      </c>
      <c r="M62" s="422" t="str">
        <f t="shared" ref="M62:M67" ca="1" si="61">IF((INDIRECT("'PRODUCT DATA'!$T"&amp;$A62&amp;""))=0,"*",((INDIRECT("'PRODUCT DATA'!$H"&amp;$A62&amp;""))*(INDIRECT("'PRODUCT DATA'!$T"&amp;$A62&amp;"")))*($F62))</f>
        <v>*</v>
      </c>
      <c r="N62" s="422" t="str">
        <f t="shared" ref="N62:N67" ca="1" si="62">IF((INDIRECT("'PRODUCT DATA'!$U"&amp;$A62&amp;""))=0,"*",((INDIRECT("'PRODUCT DATA'!$H"&amp;$A62&amp;""))*(INDIRECT("'PRODUCT DATA'!$U"&amp;$A62&amp;"")))*($F62))</f>
        <v>*</v>
      </c>
      <c r="O62" s="422" t="str">
        <f t="shared" ref="O62:O67" ca="1" si="63">IF((INDIRECT("'PRODUCT DATA'!$V"&amp;$A62&amp;""))=0,"*",((INDIRECT("'PRODUCT DATA'!$H"&amp;$A62&amp;""))*(INDIRECT("'PRODUCT DATA'!$V"&amp;$A62&amp;"")))*($F62))</f>
        <v>*</v>
      </c>
      <c r="P62" s="422" t="str">
        <f t="shared" ref="P62:P67" ca="1" si="64">IF((INDIRECT("'PRODUCT DATA'!$W"&amp;$A62&amp;""))=0,"*",((INDIRECT("'PRODUCT DATA'!$H"&amp;$A62&amp;""))*(INDIRECT("'PRODUCT DATA'!$W"&amp;$A62&amp;"")))*($F62))</f>
        <v>*</v>
      </c>
      <c r="Q62" s="422" t="str">
        <f t="shared" ref="Q62:Q67" ca="1" si="65">IF((INDIRECT("'PRODUCT DATA'!$X"&amp;$A62&amp;""))=0,"*",((INDIRECT("'PRODUCT DATA'!$H"&amp;$A62&amp;""))*(INDIRECT("'PRODUCT DATA'!$X"&amp;$A62&amp;"")))*($F62))</f>
        <v>*</v>
      </c>
      <c r="R62" s="423" t="str">
        <f t="shared" ref="R62:R67" ca="1" si="66">IF((INDIRECT("'PRODUCT DATA'!$Y"&amp;$A62&amp;""))=0,"*",((INDIRECT("'PRODUCT DATA'!$H"&amp;$A62&amp;""))*(INDIRECT("'PRODUCT DATA'!$Y"&amp;$A62&amp;"")))*($F62))</f>
        <v>*</v>
      </c>
      <c r="S62" s="423" t="str">
        <f t="shared" ref="S62:S67" ca="1" si="67">IF((INDIRECT("'PRODUCT DATA'!$Z"&amp;$A62&amp;""))=0,"*",((INDIRECT("'PRODUCT DATA'!$H"&amp;$A62&amp;""))*(INDIRECT("'PRODUCT DATA'!$Z"&amp;$A62&amp;"")))*($F62))</f>
        <v>*</v>
      </c>
      <c r="T62" s="423" t="str">
        <f t="shared" ref="T62:T67" ca="1" si="68">IF((INDIRECT("'PRODUCT DATA'!$AA"&amp;$A62&amp;""))=0,"*",((INDIRECT("'PRODUCT DATA'!$H"&amp;$A62&amp;""))*(INDIRECT("'PRODUCT DATA'!$AA"&amp;$A62&amp;"")))*($F62))</f>
        <v>*</v>
      </c>
      <c r="U62" s="424" t="str">
        <f t="shared" ref="U62:U67" ca="1" si="69">IF((INDIRECT("'PRODUCT DATA'!$AB"&amp;$A62&amp;""))=0,"*",((INDIRECT("'PRODUCT DATA'!$H"&amp;$A62&amp;""))*(INDIRECT("'PRODUCT DATA'!$AB"&amp;$A62&amp;"")))*($F62))</f>
        <v>*</v>
      </c>
    </row>
    <row r="63" spans="1:21" ht="19.5" customHeight="1">
      <c r="A63" s="70">
        <f t="shared" si="54"/>
        <v>16</v>
      </c>
      <c r="B63" s="70"/>
      <c r="C63" s="597"/>
      <c r="D63" s="598"/>
      <c r="E63" s="598"/>
      <c r="F63" s="277"/>
      <c r="G63" s="425" t="str">
        <f t="shared" ca="1" si="55"/>
        <v>*</v>
      </c>
      <c r="H63" s="426" t="str">
        <f t="shared" ca="1" si="56"/>
        <v>*</v>
      </c>
      <c r="I63" s="426" t="str">
        <f t="shared" ca="1" si="57"/>
        <v>*</v>
      </c>
      <c r="J63" s="426" t="str">
        <f t="shared" ca="1" si="58"/>
        <v>*</v>
      </c>
      <c r="K63" s="426" t="str">
        <f t="shared" ca="1" si="59"/>
        <v>*</v>
      </c>
      <c r="L63" s="426" t="str">
        <f t="shared" ca="1" si="60"/>
        <v>*</v>
      </c>
      <c r="M63" s="426" t="str">
        <f t="shared" ca="1" si="61"/>
        <v>*</v>
      </c>
      <c r="N63" s="426" t="str">
        <f t="shared" ca="1" si="62"/>
        <v>*</v>
      </c>
      <c r="O63" s="426" t="str">
        <f t="shared" ca="1" si="63"/>
        <v>*</v>
      </c>
      <c r="P63" s="426" t="str">
        <f t="shared" ca="1" si="64"/>
        <v>*</v>
      </c>
      <c r="Q63" s="426" t="str">
        <f t="shared" ca="1" si="65"/>
        <v>*</v>
      </c>
      <c r="R63" s="427" t="str">
        <f t="shared" ca="1" si="66"/>
        <v>*</v>
      </c>
      <c r="S63" s="427" t="str">
        <f t="shared" ca="1" si="67"/>
        <v>*</v>
      </c>
      <c r="T63" s="427" t="str">
        <f t="shared" ca="1" si="68"/>
        <v>*</v>
      </c>
      <c r="U63" s="428" t="str">
        <f t="shared" ca="1" si="69"/>
        <v>*</v>
      </c>
    </row>
    <row r="64" spans="1:21" ht="19.5" customHeight="1">
      <c r="A64" s="70">
        <f t="shared" si="54"/>
        <v>16</v>
      </c>
      <c r="B64" s="70"/>
      <c r="C64" s="597"/>
      <c r="D64" s="598"/>
      <c r="E64" s="598"/>
      <c r="F64" s="141"/>
      <c r="G64" s="429" t="str">
        <f t="shared" ca="1" si="55"/>
        <v>*</v>
      </c>
      <c r="H64" s="430" t="str">
        <f t="shared" ca="1" si="56"/>
        <v>*</v>
      </c>
      <c r="I64" s="430" t="str">
        <f t="shared" ca="1" si="57"/>
        <v>*</v>
      </c>
      <c r="J64" s="430" t="str">
        <f t="shared" ca="1" si="58"/>
        <v>*</v>
      </c>
      <c r="K64" s="430" t="str">
        <f t="shared" ca="1" si="59"/>
        <v>*</v>
      </c>
      <c r="L64" s="430" t="str">
        <f t="shared" ca="1" si="60"/>
        <v>*</v>
      </c>
      <c r="M64" s="430" t="str">
        <f t="shared" ca="1" si="61"/>
        <v>*</v>
      </c>
      <c r="N64" s="430" t="str">
        <f t="shared" ca="1" si="62"/>
        <v>*</v>
      </c>
      <c r="O64" s="430" t="str">
        <f t="shared" ca="1" si="63"/>
        <v>*</v>
      </c>
      <c r="P64" s="430" t="str">
        <f t="shared" ca="1" si="64"/>
        <v>*</v>
      </c>
      <c r="Q64" s="430" t="str">
        <f t="shared" ca="1" si="65"/>
        <v>*</v>
      </c>
      <c r="R64" s="431" t="str">
        <f t="shared" ca="1" si="66"/>
        <v>*</v>
      </c>
      <c r="S64" s="431" t="str">
        <f t="shared" ca="1" si="67"/>
        <v>*</v>
      </c>
      <c r="T64" s="431" t="str">
        <f t="shared" ca="1" si="68"/>
        <v>*</v>
      </c>
      <c r="U64" s="432" t="str">
        <f t="shared" ca="1" si="69"/>
        <v>*</v>
      </c>
    </row>
    <row r="65" spans="1:21" ht="19.5" customHeight="1">
      <c r="A65" s="70">
        <f t="shared" si="54"/>
        <v>16</v>
      </c>
      <c r="B65" s="70"/>
      <c r="C65" s="597"/>
      <c r="D65" s="598"/>
      <c r="E65" s="598"/>
      <c r="F65" s="141"/>
      <c r="G65" s="429" t="str">
        <f t="shared" ca="1" si="55"/>
        <v>*</v>
      </c>
      <c r="H65" s="430" t="str">
        <f t="shared" ca="1" si="56"/>
        <v>*</v>
      </c>
      <c r="I65" s="430" t="str">
        <f t="shared" ca="1" si="57"/>
        <v>*</v>
      </c>
      <c r="J65" s="430" t="str">
        <f t="shared" ca="1" si="58"/>
        <v>*</v>
      </c>
      <c r="K65" s="430" t="str">
        <f t="shared" ca="1" si="59"/>
        <v>*</v>
      </c>
      <c r="L65" s="430" t="str">
        <f t="shared" ca="1" si="60"/>
        <v>*</v>
      </c>
      <c r="M65" s="430" t="str">
        <f t="shared" ca="1" si="61"/>
        <v>*</v>
      </c>
      <c r="N65" s="430" t="str">
        <f t="shared" ca="1" si="62"/>
        <v>*</v>
      </c>
      <c r="O65" s="430" t="str">
        <f t="shared" ca="1" si="63"/>
        <v>*</v>
      </c>
      <c r="P65" s="430" t="str">
        <f t="shared" ca="1" si="64"/>
        <v>*</v>
      </c>
      <c r="Q65" s="430" t="str">
        <f t="shared" ca="1" si="65"/>
        <v>*</v>
      </c>
      <c r="R65" s="431" t="str">
        <f t="shared" ca="1" si="66"/>
        <v>*</v>
      </c>
      <c r="S65" s="431" t="str">
        <f t="shared" ca="1" si="67"/>
        <v>*</v>
      </c>
      <c r="T65" s="431" t="str">
        <f t="shared" ca="1" si="68"/>
        <v>*</v>
      </c>
      <c r="U65" s="432" t="str">
        <f t="shared" ca="1" si="69"/>
        <v>*</v>
      </c>
    </row>
    <row r="66" spans="1:21" ht="19.5" customHeight="1">
      <c r="A66" s="70">
        <f t="shared" si="54"/>
        <v>16</v>
      </c>
      <c r="B66" s="70"/>
      <c r="C66" s="597"/>
      <c r="D66" s="598"/>
      <c r="E66" s="598"/>
      <c r="F66" s="141"/>
      <c r="G66" s="429" t="str">
        <f t="shared" ca="1" si="55"/>
        <v>*</v>
      </c>
      <c r="H66" s="430" t="str">
        <f t="shared" ca="1" si="56"/>
        <v>*</v>
      </c>
      <c r="I66" s="430" t="str">
        <f t="shared" ca="1" si="57"/>
        <v>*</v>
      </c>
      <c r="J66" s="430" t="str">
        <f t="shared" ca="1" si="58"/>
        <v>*</v>
      </c>
      <c r="K66" s="430" t="str">
        <f t="shared" ca="1" si="59"/>
        <v>*</v>
      </c>
      <c r="L66" s="430" t="str">
        <f t="shared" ca="1" si="60"/>
        <v>*</v>
      </c>
      <c r="M66" s="430" t="str">
        <f t="shared" ca="1" si="61"/>
        <v>*</v>
      </c>
      <c r="N66" s="430" t="str">
        <f t="shared" ca="1" si="62"/>
        <v>*</v>
      </c>
      <c r="O66" s="430" t="str">
        <f t="shared" ca="1" si="63"/>
        <v>*</v>
      </c>
      <c r="P66" s="430" t="str">
        <f t="shared" ca="1" si="64"/>
        <v>*</v>
      </c>
      <c r="Q66" s="430" t="str">
        <f t="shared" ca="1" si="65"/>
        <v>*</v>
      </c>
      <c r="R66" s="431" t="str">
        <f t="shared" ca="1" si="66"/>
        <v>*</v>
      </c>
      <c r="S66" s="431" t="str">
        <f t="shared" ca="1" si="67"/>
        <v>*</v>
      </c>
      <c r="T66" s="431" t="str">
        <f t="shared" ca="1" si="68"/>
        <v>*</v>
      </c>
      <c r="U66" s="432" t="str">
        <f t="shared" ca="1" si="69"/>
        <v>*</v>
      </c>
    </row>
    <row r="67" spans="1:21" ht="19.5" customHeight="1" thickBot="1">
      <c r="A67" s="70">
        <f t="shared" si="54"/>
        <v>16</v>
      </c>
      <c r="B67" s="70"/>
      <c r="C67" s="601"/>
      <c r="D67" s="602"/>
      <c r="E67" s="602"/>
      <c r="F67" s="142"/>
      <c r="G67" s="433" t="str">
        <f t="shared" ca="1" si="55"/>
        <v>*</v>
      </c>
      <c r="H67" s="434" t="str">
        <f t="shared" ca="1" si="56"/>
        <v>*</v>
      </c>
      <c r="I67" s="434" t="str">
        <f t="shared" ca="1" si="57"/>
        <v>*</v>
      </c>
      <c r="J67" s="434" t="str">
        <f t="shared" ca="1" si="58"/>
        <v>*</v>
      </c>
      <c r="K67" s="434" t="str">
        <f t="shared" ca="1" si="59"/>
        <v>*</v>
      </c>
      <c r="L67" s="434" t="str">
        <f t="shared" ca="1" si="60"/>
        <v>*</v>
      </c>
      <c r="M67" s="434" t="str">
        <f t="shared" ca="1" si="61"/>
        <v>*</v>
      </c>
      <c r="N67" s="434" t="str">
        <f t="shared" ca="1" si="62"/>
        <v>*</v>
      </c>
      <c r="O67" s="434" t="str">
        <f t="shared" ca="1" si="63"/>
        <v>*</v>
      </c>
      <c r="P67" s="434" t="str">
        <f t="shared" ca="1" si="64"/>
        <v>*</v>
      </c>
      <c r="Q67" s="434" t="str">
        <f t="shared" ca="1" si="65"/>
        <v>*</v>
      </c>
      <c r="R67" s="435" t="str">
        <f t="shared" ca="1" si="66"/>
        <v>*</v>
      </c>
      <c r="S67" s="435" t="str">
        <f t="shared" ca="1" si="67"/>
        <v>*</v>
      </c>
      <c r="T67" s="435" t="str">
        <f t="shared" ca="1" si="68"/>
        <v>*</v>
      </c>
      <c r="U67" s="436" t="str">
        <f t="shared" ca="1" si="69"/>
        <v>*</v>
      </c>
    </row>
    <row r="68" spans="1:21" ht="19.5" customHeight="1" thickBot="1">
      <c r="C68" s="603" t="s">
        <v>139</v>
      </c>
      <c r="D68" s="604"/>
      <c r="E68" s="604"/>
      <c r="F68" s="605"/>
      <c r="G68" s="437" t="str">
        <f t="shared" ref="G68:U68" ca="1" si="70">IF(SUM(G62:G67)=0,"0",SUM(G62:G67))</f>
        <v>0</v>
      </c>
      <c r="H68" s="437" t="str">
        <f t="shared" ca="1" si="70"/>
        <v>0</v>
      </c>
      <c r="I68" s="437" t="str">
        <f t="shared" ca="1" si="70"/>
        <v>0</v>
      </c>
      <c r="J68" s="437" t="str">
        <f t="shared" ca="1" si="70"/>
        <v>0</v>
      </c>
      <c r="K68" s="437" t="str">
        <f t="shared" ca="1" si="70"/>
        <v>0</v>
      </c>
      <c r="L68" s="437" t="str">
        <f t="shared" ca="1" si="70"/>
        <v>0</v>
      </c>
      <c r="M68" s="437" t="str">
        <f t="shared" ca="1" si="70"/>
        <v>0</v>
      </c>
      <c r="N68" s="437" t="str">
        <f t="shared" ca="1" si="70"/>
        <v>0</v>
      </c>
      <c r="O68" s="437" t="str">
        <f t="shared" ca="1" si="70"/>
        <v>0</v>
      </c>
      <c r="P68" s="437" t="str">
        <f t="shared" ca="1" si="70"/>
        <v>0</v>
      </c>
      <c r="Q68" s="438" t="str">
        <f t="shared" ca="1" si="70"/>
        <v>0</v>
      </c>
      <c r="R68" s="438" t="str">
        <f t="shared" ca="1" si="70"/>
        <v>0</v>
      </c>
      <c r="S68" s="438" t="str">
        <f t="shared" ca="1" si="70"/>
        <v>0</v>
      </c>
      <c r="T68" s="438" t="str">
        <f t="shared" ca="1" si="70"/>
        <v>0</v>
      </c>
      <c r="U68" s="439" t="str">
        <f t="shared" ca="1" si="70"/>
        <v>0</v>
      </c>
    </row>
    <row r="69" spans="1:21" ht="19.5" customHeight="1" thickTop="1">
      <c r="C69" s="607" t="s">
        <v>261</v>
      </c>
      <c r="D69" s="607"/>
      <c r="E69" s="607"/>
      <c r="F69" s="607"/>
      <c r="G69" s="440">
        <f t="shared" ref="G69:U69" ca="1" si="71">G68*$M$15</f>
        <v>0</v>
      </c>
      <c r="H69" s="440">
        <f t="shared" ca="1" si="71"/>
        <v>0</v>
      </c>
      <c r="I69" s="440">
        <f t="shared" ca="1" si="71"/>
        <v>0</v>
      </c>
      <c r="J69" s="440">
        <f t="shared" ca="1" si="71"/>
        <v>0</v>
      </c>
      <c r="K69" s="440">
        <f t="shared" ca="1" si="71"/>
        <v>0</v>
      </c>
      <c r="L69" s="440">
        <f t="shared" ca="1" si="71"/>
        <v>0</v>
      </c>
      <c r="M69" s="440">
        <f t="shared" ca="1" si="71"/>
        <v>0</v>
      </c>
      <c r="N69" s="440">
        <f t="shared" ca="1" si="71"/>
        <v>0</v>
      </c>
      <c r="O69" s="440">
        <f t="shared" ca="1" si="71"/>
        <v>0</v>
      </c>
      <c r="P69" s="440">
        <f t="shared" ca="1" si="71"/>
        <v>0</v>
      </c>
      <c r="Q69" s="441">
        <f t="shared" ca="1" si="71"/>
        <v>0</v>
      </c>
      <c r="R69" s="441">
        <f t="shared" ca="1" si="71"/>
        <v>0</v>
      </c>
      <c r="S69" s="441">
        <f t="shared" ca="1" si="71"/>
        <v>0</v>
      </c>
      <c r="T69" s="441">
        <f t="shared" ca="1" si="71"/>
        <v>0</v>
      </c>
      <c r="U69" s="441">
        <f t="shared" ca="1" si="71"/>
        <v>0</v>
      </c>
    </row>
    <row r="70" spans="1:21" ht="19.5" hidden="1" customHeight="1">
      <c r="C70" s="607"/>
      <c r="D70" s="607"/>
      <c r="E70" s="607"/>
      <c r="F70" s="607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1"/>
      <c r="R70" s="441"/>
      <c r="S70" s="441"/>
      <c r="T70" s="441"/>
      <c r="U70" s="441"/>
    </row>
    <row r="71" spans="1:21" ht="19.5" hidden="1" customHeight="1">
      <c r="C71" s="413"/>
      <c r="D71" s="413"/>
      <c r="E71" s="413"/>
      <c r="F71" s="413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</row>
    <row r="72" spans="1:21" ht="9" customHeight="1" thickBot="1"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ht="24" customHeight="1" thickTop="1">
      <c r="A73" s="17"/>
      <c r="B73" s="17"/>
      <c r="C73" s="618"/>
      <c r="D73" s="619"/>
      <c r="E73" s="619"/>
      <c r="F73" s="130" t="s">
        <v>263</v>
      </c>
      <c r="G73" s="610" t="s">
        <v>240</v>
      </c>
      <c r="H73" s="611"/>
      <c r="I73" s="611"/>
      <c r="J73" s="611"/>
      <c r="K73" s="611"/>
      <c r="L73" s="611"/>
      <c r="M73" s="611"/>
      <c r="N73" s="611"/>
      <c r="O73" s="611"/>
      <c r="P73" s="611"/>
      <c r="Q73" s="611"/>
      <c r="R73" s="611"/>
      <c r="S73" s="611"/>
      <c r="T73" s="611"/>
      <c r="U73" s="612"/>
    </row>
    <row r="74" spans="1:21" ht="19.5" customHeight="1" thickBot="1">
      <c r="A74" s="17"/>
      <c r="B74" s="17"/>
      <c r="C74" s="616" t="s">
        <v>179</v>
      </c>
      <c r="D74" s="617"/>
      <c r="E74" s="617"/>
      <c r="F74" s="75" t="s">
        <v>64</v>
      </c>
      <c r="G74" s="78" t="s">
        <v>0</v>
      </c>
      <c r="H74" s="343" t="s">
        <v>229</v>
      </c>
      <c r="I74" s="343" t="s">
        <v>230</v>
      </c>
      <c r="J74" s="343" t="s">
        <v>3</v>
      </c>
      <c r="K74" s="343" t="s">
        <v>4</v>
      </c>
      <c r="L74" s="343" t="s">
        <v>5</v>
      </c>
      <c r="M74" s="343" t="s">
        <v>8</v>
      </c>
      <c r="N74" s="343" t="s">
        <v>9</v>
      </c>
      <c r="O74" s="343" t="s">
        <v>10</v>
      </c>
      <c r="P74" s="343" t="s">
        <v>7</v>
      </c>
      <c r="Q74" s="343" t="s">
        <v>6</v>
      </c>
      <c r="R74" s="343" t="s">
        <v>11</v>
      </c>
      <c r="S74" s="343" t="s">
        <v>12</v>
      </c>
      <c r="T74" s="343" t="s">
        <v>13</v>
      </c>
      <c r="U74" s="77" t="s">
        <v>62</v>
      </c>
    </row>
    <row r="75" spans="1:21" ht="19.5" customHeight="1" thickBot="1">
      <c r="A75" s="70" t="str">
        <f>IF(($C75=id.x3),45,"42")</f>
        <v>42</v>
      </c>
      <c r="B75" s="70"/>
      <c r="C75" s="613"/>
      <c r="D75" s="614"/>
      <c r="E75" s="615"/>
      <c r="F75" s="309"/>
      <c r="G75" s="410" t="str">
        <f ca="1">IF((INDIRECT("'PRODUCT DATA'!$L"&amp;$A75&amp;""))=0,"0",((INDIRECT("'PRODUCT DATA'!$L"&amp;$A75&amp;""))*($F75*10)))</f>
        <v>0</v>
      </c>
      <c r="H75" s="410" t="str">
        <f ca="1">IF((INDIRECT("'PRODUCT DATA'!$M"&amp;$A75&amp;""))=0,"0",((INDIRECT("'PRODUCT DATA'!$M"&amp;$A75&amp;""))*($F75*10)))</f>
        <v>0</v>
      </c>
      <c r="I75" s="410" t="str">
        <f ca="1">IF((INDIRECT("'PRODUCT DATA'!$O"&amp;$A75&amp;""))=0,"0",((INDIRECT("'PRODUCT DATA'!$O"&amp;$A75&amp;""))*($F75*10)))</f>
        <v>0</v>
      </c>
      <c r="J75" s="410" t="str">
        <f ca="1">IF((INDIRECT("'PRODUCT DATA'!$Q"&amp;$A75&amp;""))=0,"0",((INDIRECT("'PRODUCT DATA'!$Q"&amp;$A75&amp;""))*($F75*10)))</f>
        <v>0</v>
      </c>
      <c r="K75" s="410" t="str">
        <f ca="1">IF((INDIRECT("'PRODUCT DATA'!$R"&amp;$A75&amp;""))=0,"0",((INDIRECT("'PRODUCT DATA'!$R"&amp;$A75&amp;""))*($F75*10)))</f>
        <v>0</v>
      </c>
      <c r="L75" s="410" t="str">
        <f ca="1">IF((INDIRECT("'PRODUCT DATA'!$S"&amp;$A75&amp;""))=0,"0",((INDIRECT("'PRODUCT DATA'!$S"&amp;$A75&amp;""))*($F75*10)))</f>
        <v>0</v>
      </c>
      <c r="M75" s="410" t="str">
        <f ca="1">IF((INDIRECT("'PRODUCT DATA'!$T"&amp;$A75&amp;""))=0,"0",((INDIRECT("'PRODUCT DATA'!$T"&amp;$A75&amp;""))*($F75*10)))</f>
        <v>0</v>
      </c>
      <c r="N75" s="410" t="str">
        <f ca="1">IF((INDIRECT("'PRODUCT DATA'!$U"&amp;$A75&amp;""))=0,"0",((INDIRECT("'PRODUCT DATA'!$U"&amp;$A75&amp;""))*($F75*10)))</f>
        <v>0</v>
      </c>
      <c r="O75" s="410" t="str">
        <f ca="1">IF((INDIRECT("'PRODUCT DATA'!$V"&amp;$A75&amp;""))=0,"0",((INDIRECT("'PRODUCT DATA'!$V"&amp;$A75&amp;""))*($F75*10)))</f>
        <v>0</v>
      </c>
      <c r="P75" s="410" t="str">
        <f ca="1">IF((INDIRECT("'PRODUCT DATA'!$W"&amp;$A75&amp;""))=0,"0",((INDIRECT("'PRODUCT DATA'!$W"&amp;$A75&amp;""))*($F75*10)))</f>
        <v>0</v>
      </c>
      <c r="Q75" s="411" t="str">
        <f ca="1">IF((INDIRECT("'PRODUCT DATA'!$X"&amp;$A75&amp;""))=0,"0",((INDIRECT("'PRODUCT DATA'!$X"&amp;$A75&amp;""))*($F75*10)))</f>
        <v>0</v>
      </c>
      <c r="R75" s="411" t="str">
        <f ca="1">IF((INDIRECT("'PRODUCT DATA'!$Y"&amp;$A75&amp;""))=0,"0",((INDIRECT("'PRODUCT DATA'!$Y"&amp;$A75&amp;""))*($F75*10)))</f>
        <v>0</v>
      </c>
      <c r="S75" s="411" t="str">
        <f ca="1">IF((INDIRECT("'PRODUCT DATA'!$Z"&amp;$A75&amp;""))=0,"0",((INDIRECT("'PRODUCT DATA'!$Z"&amp;$A75&amp;""))*($F75*10)))</f>
        <v>0</v>
      </c>
      <c r="T75" s="411" t="str">
        <f ca="1">IF((INDIRECT("'PRODUCT DATA'!$AA"&amp;$A75&amp;""))=0,"0",((INDIRECT("'PRODUCT DATA'!$AA"&amp;$A75&amp;""))*($F75*10)))</f>
        <v>0</v>
      </c>
      <c r="U75" s="412" t="str">
        <f ca="1">IF((INDIRECT("'PRODUCT DATA'!$AB"&amp;$A75&amp;""))=0,"0",((INDIRECT("'PRODUCT DATA'!$AB"&amp;$A75&amp;""))*($F75*10)))</f>
        <v>0</v>
      </c>
    </row>
    <row r="76" spans="1:21" ht="19.5" customHeight="1">
      <c r="C76" s="746" t="s">
        <v>261</v>
      </c>
      <c r="D76" s="747"/>
      <c r="E76" s="747"/>
      <c r="F76" s="747"/>
      <c r="G76" s="445">
        <f t="shared" ref="G76:U76" ca="1" si="72">G75*$R$12</f>
        <v>0</v>
      </c>
      <c r="H76" s="445">
        <f t="shared" ca="1" si="72"/>
        <v>0</v>
      </c>
      <c r="I76" s="445">
        <f t="shared" ca="1" si="72"/>
        <v>0</v>
      </c>
      <c r="J76" s="445">
        <f t="shared" ca="1" si="72"/>
        <v>0</v>
      </c>
      <c r="K76" s="445">
        <f t="shared" ca="1" si="72"/>
        <v>0</v>
      </c>
      <c r="L76" s="445">
        <f t="shared" ca="1" si="72"/>
        <v>0</v>
      </c>
      <c r="M76" s="445">
        <f t="shared" ca="1" si="72"/>
        <v>0</v>
      </c>
      <c r="N76" s="445">
        <f t="shared" ca="1" si="72"/>
        <v>0</v>
      </c>
      <c r="O76" s="445">
        <f t="shared" ca="1" si="72"/>
        <v>0</v>
      </c>
      <c r="P76" s="445">
        <f t="shared" ca="1" si="72"/>
        <v>0</v>
      </c>
      <c r="Q76" s="445">
        <f t="shared" ca="1" si="72"/>
        <v>0</v>
      </c>
      <c r="R76" s="445">
        <f t="shared" ca="1" si="72"/>
        <v>0</v>
      </c>
      <c r="S76" s="445">
        <f t="shared" ca="1" si="72"/>
        <v>0</v>
      </c>
      <c r="T76" s="445">
        <f t="shared" ca="1" si="72"/>
        <v>0</v>
      </c>
      <c r="U76" s="446">
        <f t="shared" ca="1" si="72"/>
        <v>0</v>
      </c>
    </row>
    <row r="77" spans="1:21" ht="19.5" hidden="1" customHeight="1">
      <c r="C77" s="606"/>
      <c r="D77" s="607"/>
      <c r="E77" s="607"/>
      <c r="F77" s="607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6"/>
    </row>
    <row r="78" spans="1:21" ht="19.5" customHeight="1" thickBot="1">
      <c r="C78" s="608" t="s">
        <v>185</v>
      </c>
      <c r="D78" s="609"/>
      <c r="E78" s="609"/>
      <c r="F78" s="75" t="s">
        <v>64</v>
      </c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3"/>
    </row>
    <row r="79" spans="1:21" ht="19.5" customHeight="1" thickBot="1">
      <c r="A79" s="70">
        <f>IF(($C79=id.1220),47,IF(($C79=id.1270),48,IF(($C79=id.1200),49,IF(($C79=id.1340),50,IF(($C79=id.1240),51,IF(($C79=id.1440),52,IF(($C79=id.1400),53,IF(($C79=id.1410),54,IF(($C79=id.1430),55,IF(($C79=id.1420),56,IF(($C79=id.1320),62,IF(($C79=id.1360),63,IF(($C79=id.1370),64,IF(($C79=id.2020),65,IF(($C79=id.2000),66,IF(($C79=id.z1),68,IF(($C79=id.z2),69,"67")))))))))))))))))</f>
        <v>47</v>
      </c>
      <c r="B79" s="70"/>
      <c r="C79" s="599"/>
      <c r="D79" s="600"/>
      <c r="E79" s="600"/>
      <c r="F79" s="143"/>
      <c r="G79" s="410" t="str">
        <f ca="1">IF((INDIRECT("'PRODUCT DATA'!$L"&amp;$A79&amp;""))=0,"0",((INDIRECT("'PRODUCT DATA'!$L"&amp;$A79&amp;""))*($F79*10)))</f>
        <v>0</v>
      </c>
      <c r="H79" s="410" t="str">
        <f ca="1">IF((INDIRECT("'PRODUCT DATA'!$M"&amp;$A79&amp;""))=0,"0",((INDIRECT("'PRODUCT DATA'!$M"&amp;$A79&amp;""))*($F79*10)))</f>
        <v>0</v>
      </c>
      <c r="I79" s="410" t="str">
        <f ca="1">IF((INDIRECT("'PRODUCT DATA'!$O"&amp;$A79&amp;""))=0,"0",((INDIRECT("'PRODUCT DATA'!$O"&amp;$A79&amp;""))*($F79*10)))</f>
        <v>0</v>
      </c>
      <c r="J79" s="410" t="str">
        <f ca="1">IF((INDIRECT("'PRODUCT DATA'!$Q"&amp;$A79&amp;""))=0,"0",((INDIRECT("'PRODUCT DATA'!$Q"&amp;$A79&amp;""))*($F79*10)))</f>
        <v>0</v>
      </c>
      <c r="K79" s="410" t="str">
        <f ca="1">IF((INDIRECT("'PRODUCT DATA'!$R"&amp;$A79&amp;""))=0,"0",((INDIRECT("'PRODUCT DATA'!$R"&amp;$A79&amp;""))*($F79*10)))</f>
        <v>0</v>
      </c>
      <c r="L79" s="410" t="str">
        <f ca="1">IF((INDIRECT("'PRODUCT DATA'!$S"&amp;$A79&amp;""))=0,"0",((INDIRECT("'PRODUCT DATA'!$S"&amp;$A79&amp;""))*($F79*10)))</f>
        <v>0</v>
      </c>
      <c r="M79" s="410" t="str">
        <f ca="1">IF((INDIRECT("'PRODUCT DATA'!$T"&amp;$A79&amp;""))=0,"0",((INDIRECT("'PRODUCT DATA'!$T"&amp;$A79&amp;""))*($F79*10)))</f>
        <v>0</v>
      </c>
      <c r="N79" s="410" t="str">
        <f ca="1">IF((INDIRECT("'PRODUCT DATA'!$U"&amp;$A79&amp;""))=0,"0",((INDIRECT("'PRODUCT DATA'!$U"&amp;$A79&amp;""))*($F79*10)))</f>
        <v>0</v>
      </c>
      <c r="O79" s="410" t="str">
        <f ca="1">IF((INDIRECT("'PRODUCT DATA'!$V"&amp;$A79&amp;""))=0,"0",((INDIRECT("'PRODUCT DATA'!$V"&amp;$A79&amp;""))*($F79*10)))</f>
        <v>0</v>
      </c>
      <c r="P79" s="410" t="str">
        <f ca="1">IF((INDIRECT("'PRODUCT DATA'!$W"&amp;$A79&amp;""))=0,"0",((INDIRECT("'PRODUCT DATA'!$W"&amp;$A79&amp;""))*($F79*10)))</f>
        <v>0</v>
      </c>
      <c r="Q79" s="411" t="str">
        <f ca="1">IF((INDIRECT("'PRODUCT DATA'!$X"&amp;$A79&amp;""))=0,"0",((INDIRECT("'PRODUCT DATA'!$X"&amp;$A79&amp;""))*($F79*10)))</f>
        <v>0</v>
      </c>
      <c r="R79" s="411" t="str">
        <f ca="1">IF((INDIRECT("'PRODUCT DATA'!$Y"&amp;$A79&amp;""))=0,"0",((INDIRECT("'PRODUCT DATA'!$Y"&amp;$A79&amp;""))*($F79*10)))</f>
        <v>0</v>
      </c>
      <c r="S79" s="411" t="str">
        <f ca="1">IF((INDIRECT("'PRODUCT DATA'!$Z"&amp;$A79&amp;""))=0,"0",((INDIRECT("'PRODUCT DATA'!$Z"&amp;$A79&amp;""))*($F79*10)))</f>
        <v>0</v>
      </c>
      <c r="T79" s="411" t="str">
        <f ca="1">IF((INDIRECT("'PRODUCT DATA'!$AA"&amp;$A79&amp;""))=0,"0",((INDIRECT("'PRODUCT DATA'!$AA"&amp;$A79&amp;""))*($F79*10)))</f>
        <v>0</v>
      </c>
      <c r="U79" s="412" t="str">
        <f ca="1">IF((INDIRECT("'PRODUCT DATA'!$AB"&amp;$A79&amp;""))=0,"0",((INDIRECT("'PRODUCT DATA'!$AB"&amp;$A79&amp;""))*($F79*10)))</f>
        <v>0</v>
      </c>
    </row>
    <row r="80" spans="1:21" ht="19.5" customHeight="1">
      <c r="C80" s="746" t="s">
        <v>261</v>
      </c>
      <c r="D80" s="747"/>
      <c r="E80" s="747"/>
      <c r="F80" s="747"/>
      <c r="G80" s="445">
        <f t="shared" ref="G80:U80" ca="1" si="73">G79*$R$13</f>
        <v>0</v>
      </c>
      <c r="H80" s="445">
        <f t="shared" ca="1" si="73"/>
        <v>0</v>
      </c>
      <c r="I80" s="445">
        <f t="shared" ca="1" si="73"/>
        <v>0</v>
      </c>
      <c r="J80" s="445">
        <f t="shared" ca="1" si="73"/>
        <v>0</v>
      </c>
      <c r="K80" s="445">
        <f t="shared" ca="1" si="73"/>
        <v>0</v>
      </c>
      <c r="L80" s="445">
        <f t="shared" ca="1" si="73"/>
        <v>0</v>
      </c>
      <c r="M80" s="445">
        <f t="shared" ca="1" si="73"/>
        <v>0</v>
      </c>
      <c r="N80" s="445">
        <f t="shared" ca="1" si="73"/>
        <v>0</v>
      </c>
      <c r="O80" s="445">
        <f t="shared" ca="1" si="73"/>
        <v>0</v>
      </c>
      <c r="P80" s="445">
        <f t="shared" ca="1" si="73"/>
        <v>0</v>
      </c>
      <c r="Q80" s="445">
        <f t="shared" ca="1" si="73"/>
        <v>0</v>
      </c>
      <c r="R80" s="445">
        <f t="shared" ca="1" si="73"/>
        <v>0</v>
      </c>
      <c r="S80" s="445">
        <f t="shared" ca="1" si="73"/>
        <v>0</v>
      </c>
      <c r="T80" s="445">
        <f t="shared" ca="1" si="73"/>
        <v>0</v>
      </c>
      <c r="U80" s="446">
        <f t="shared" ca="1" si="73"/>
        <v>0</v>
      </c>
    </row>
    <row r="81" spans="1:22" ht="19.5" hidden="1" customHeight="1">
      <c r="C81" s="606"/>
      <c r="D81" s="607"/>
      <c r="E81" s="607"/>
      <c r="F81" s="607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6"/>
    </row>
    <row r="82" spans="1:22" ht="19.5" customHeight="1" thickBot="1">
      <c r="C82" s="608" t="s">
        <v>186</v>
      </c>
      <c r="D82" s="609"/>
      <c r="E82" s="609"/>
      <c r="F82" s="75" t="s">
        <v>64</v>
      </c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3"/>
    </row>
    <row r="83" spans="1:22" ht="19.5" customHeight="1" thickBot="1">
      <c r="A83" s="70">
        <f>IF(($C83=id.1220),47,IF(($C83=id.1270),48,IF(($C83=id.1200),49,IF(($C83=id.1340),50,IF(($C83=id.1240),51,IF(($C83=id.1440),52,IF(($C83=id.1400),53,IF(($C83=id.1410),54,IF(($C83=id.1430),55,IF(($C83=id.1420),56,IF(($C83=id.1320),62,IF(($C83=id.1360),63,IF(($C83=id.1370),64,IF(($C83=id.2020),65,IF(($C83=id.2000),66,IF(($C83=id.z1),68,IF(($C83=id.z2),69,"67")))))))))))))))))</f>
        <v>47</v>
      </c>
      <c r="B83" s="70"/>
      <c r="C83" s="599"/>
      <c r="D83" s="600"/>
      <c r="E83" s="600"/>
      <c r="F83" s="143"/>
      <c r="G83" s="410" t="str">
        <f ca="1">IF((INDIRECT("'PRODUCT DATA'!$L"&amp;$A83&amp;""))=0,"0",((INDIRECT("'PRODUCT DATA'!$L"&amp;$A83&amp;""))*($F83*10)))</f>
        <v>0</v>
      </c>
      <c r="H83" s="410" t="str">
        <f ca="1">IF((INDIRECT("'PRODUCT DATA'!$M"&amp;$A83&amp;""))=0,"0",((INDIRECT("'PRODUCT DATA'!$M"&amp;$A83&amp;""))*($F83*10)))</f>
        <v>0</v>
      </c>
      <c r="I83" s="410" t="str">
        <f ca="1">IF((INDIRECT("'PRODUCT DATA'!$O"&amp;$A83&amp;""))=0,"0",((INDIRECT("'PRODUCT DATA'!$O"&amp;$A83&amp;""))*($F83*10)))</f>
        <v>0</v>
      </c>
      <c r="J83" s="410" t="str">
        <f ca="1">IF((INDIRECT("'PRODUCT DATA'!$Q"&amp;$A83&amp;""))=0,"0",((INDIRECT("'PRODUCT DATA'!$Q"&amp;$A83&amp;""))*($F83*10)))</f>
        <v>0</v>
      </c>
      <c r="K83" s="410" t="str">
        <f ca="1">IF((INDIRECT("'PRODUCT DATA'!$R"&amp;$A83&amp;""))=0,"0",((INDIRECT("'PRODUCT DATA'!$R"&amp;$A83&amp;""))*($F83*10)))</f>
        <v>0</v>
      </c>
      <c r="L83" s="410" t="str">
        <f ca="1">IF((INDIRECT("'PRODUCT DATA'!$S"&amp;$A83&amp;""))=0,"0",((INDIRECT("'PRODUCT DATA'!$S"&amp;$A83&amp;""))*($F83*10)))</f>
        <v>0</v>
      </c>
      <c r="M83" s="410" t="str">
        <f ca="1">IF((INDIRECT("'PRODUCT DATA'!$T"&amp;$A83&amp;""))=0,"0",((INDIRECT("'PRODUCT DATA'!$T"&amp;$A83&amp;""))*($F83*10)))</f>
        <v>0</v>
      </c>
      <c r="N83" s="410" t="str">
        <f ca="1">IF((INDIRECT("'PRODUCT DATA'!$U"&amp;$A83&amp;""))=0,"0",((INDIRECT("'PRODUCT DATA'!$U"&amp;$A83&amp;""))*($F83*10)))</f>
        <v>0</v>
      </c>
      <c r="O83" s="410" t="str">
        <f ca="1">IF((INDIRECT("'PRODUCT DATA'!$V"&amp;$A83&amp;""))=0,"0",((INDIRECT("'PRODUCT DATA'!$V"&amp;$A83&amp;""))*($F83*10)))</f>
        <v>0</v>
      </c>
      <c r="P83" s="410" t="str">
        <f ca="1">IF((INDIRECT("'PRODUCT DATA'!$W"&amp;$A83&amp;""))=0,"0",((INDIRECT("'PRODUCT DATA'!$W"&amp;$A83&amp;""))*($F83*10)))</f>
        <v>0</v>
      </c>
      <c r="Q83" s="411" t="str">
        <f ca="1">IF((INDIRECT("'PRODUCT DATA'!$X"&amp;$A83&amp;""))=0,"0",((INDIRECT("'PRODUCT DATA'!$X"&amp;$A83&amp;""))*($F83*10)))</f>
        <v>0</v>
      </c>
      <c r="R83" s="411" t="str">
        <f ca="1">IF((INDIRECT("'PRODUCT DATA'!$Y"&amp;$A83&amp;""))=0,"0",((INDIRECT("'PRODUCT DATA'!$Y"&amp;$A83&amp;""))*($F83*10)))</f>
        <v>0</v>
      </c>
      <c r="S83" s="411" t="str">
        <f ca="1">IF((INDIRECT("'PRODUCT DATA'!$Z"&amp;$A83&amp;""))=0,"0",((INDIRECT("'PRODUCT DATA'!$Z"&amp;$A83&amp;""))*($F83*10)))</f>
        <v>0</v>
      </c>
      <c r="T83" s="411" t="str">
        <f ca="1">IF((INDIRECT("'PRODUCT DATA'!$AA"&amp;$A83&amp;""))=0,"0",((INDIRECT("'PRODUCT DATA'!$AA"&amp;$A83&amp;""))*($F83*10)))</f>
        <v>0</v>
      </c>
      <c r="U83" s="412" t="str">
        <f ca="1">IF((INDIRECT("'PRODUCT DATA'!$AB"&amp;$A83&amp;""))=0,"0",((INDIRECT("'PRODUCT DATA'!$AB"&amp;$A83&amp;""))*($F83*10)))</f>
        <v>0</v>
      </c>
    </row>
    <row r="84" spans="1:22" ht="19.5" customHeight="1">
      <c r="C84" s="746" t="s">
        <v>261</v>
      </c>
      <c r="D84" s="747"/>
      <c r="E84" s="747"/>
      <c r="F84" s="747"/>
      <c r="G84" s="445">
        <f t="shared" ref="G84:U84" ca="1" si="74">G83*$R$14</f>
        <v>0</v>
      </c>
      <c r="H84" s="445">
        <f t="shared" ca="1" si="74"/>
        <v>0</v>
      </c>
      <c r="I84" s="445">
        <f t="shared" ca="1" si="74"/>
        <v>0</v>
      </c>
      <c r="J84" s="445">
        <f t="shared" ca="1" si="74"/>
        <v>0</v>
      </c>
      <c r="K84" s="445">
        <f t="shared" ca="1" si="74"/>
        <v>0</v>
      </c>
      <c r="L84" s="445">
        <f t="shared" ca="1" si="74"/>
        <v>0</v>
      </c>
      <c r="M84" s="445">
        <f t="shared" ca="1" si="74"/>
        <v>0</v>
      </c>
      <c r="N84" s="445">
        <f t="shared" ca="1" si="74"/>
        <v>0</v>
      </c>
      <c r="O84" s="445">
        <f t="shared" ca="1" si="74"/>
        <v>0</v>
      </c>
      <c r="P84" s="445">
        <f t="shared" ca="1" si="74"/>
        <v>0</v>
      </c>
      <c r="Q84" s="445">
        <f t="shared" ca="1" si="74"/>
        <v>0</v>
      </c>
      <c r="R84" s="445">
        <f t="shared" ca="1" si="74"/>
        <v>0</v>
      </c>
      <c r="S84" s="445">
        <f t="shared" ca="1" si="74"/>
        <v>0</v>
      </c>
      <c r="T84" s="445">
        <f t="shared" ca="1" si="74"/>
        <v>0</v>
      </c>
      <c r="U84" s="446">
        <f t="shared" ca="1" si="74"/>
        <v>0</v>
      </c>
    </row>
    <row r="85" spans="1:22" ht="19.5" hidden="1" customHeight="1">
      <c r="C85" s="606"/>
      <c r="D85" s="607"/>
      <c r="E85" s="607"/>
      <c r="F85" s="607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6"/>
    </row>
    <row r="86" spans="1:22" ht="19.5" customHeight="1" thickBot="1">
      <c r="C86" s="608" t="s">
        <v>187</v>
      </c>
      <c r="D86" s="609"/>
      <c r="E86" s="609"/>
      <c r="F86" s="75" t="s">
        <v>64</v>
      </c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3"/>
    </row>
    <row r="87" spans="1:22" ht="19.5" customHeight="1" thickBot="1">
      <c r="A87" s="70">
        <f>IF(($C87=id.1220),47,IF(($C87=id.1270),48,IF(($C87=id.1200),49,IF(($C87=id.1340),50,IF(($C87=id.1240),51,IF(($C87=id.1440),52,IF(($C87=id.1400),53,IF(($C87=id.1410),54,IF(($C87=id.1430),55,IF(($C87=id.1420),56,IF(($C87=id.1320),62,IF(($C87=id.1360),63,IF(($C87=id.1370),64,IF(($C87=id.2020),65,IF(($C87=id.2000),66,IF(($C87=id.z1),68,IF(($C87=id.z2),69,"67")))))))))))))))))</f>
        <v>47</v>
      </c>
      <c r="B87" s="70"/>
      <c r="C87" s="599"/>
      <c r="D87" s="600"/>
      <c r="E87" s="600"/>
      <c r="F87" s="143"/>
      <c r="G87" s="410" t="str">
        <f ca="1">IF((INDIRECT("'PRODUCT DATA'!$L"&amp;$A87&amp;""))=0,"0",((INDIRECT("'PRODUCT DATA'!$L"&amp;$A87&amp;""))*($F87*10)))</f>
        <v>0</v>
      </c>
      <c r="H87" s="410" t="str">
        <f ca="1">IF((INDIRECT("'PRODUCT DATA'!$M"&amp;$A87&amp;""))=0,"0",((INDIRECT("'PRODUCT DATA'!$M"&amp;$A87&amp;""))*($F87*10)))</f>
        <v>0</v>
      </c>
      <c r="I87" s="410" t="str">
        <f ca="1">IF((INDIRECT("'PRODUCT DATA'!$O"&amp;$A87&amp;""))=0,"0",((INDIRECT("'PRODUCT DATA'!$O"&amp;$A87&amp;""))*($F87*10)))</f>
        <v>0</v>
      </c>
      <c r="J87" s="410" t="str">
        <f ca="1">IF((INDIRECT("'PRODUCT DATA'!$Q"&amp;$A87&amp;""))=0,"0",((INDIRECT("'PRODUCT DATA'!$Q"&amp;$A87&amp;""))*($F87*10)))</f>
        <v>0</v>
      </c>
      <c r="K87" s="410" t="str">
        <f ca="1">IF((INDIRECT("'PRODUCT DATA'!$R"&amp;$A87&amp;""))=0,"0",((INDIRECT("'PRODUCT DATA'!$R"&amp;$A87&amp;""))*($F87*10)))</f>
        <v>0</v>
      </c>
      <c r="L87" s="410" t="str">
        <f ca="1">IF((INDIRECT("'PRODUCT DATA'!$S"&amp;$A87&amp;""))=0,"0",((INDIRECT("'PRODUCT DATA'!$S"&amp;$A87&amp;""))*($F87*10)))</f>
        <v>0</v>
      </c>
      <c r="M87" s="410" t="str">
        <f ca="1">IF((INDIRECT("'PRODUCT DATA'!$T"&amp;$A87&amp;""))=0,"0",((INDIRECT("'PRODUCT DATA'!$T"&amp;$A87&amp;""))*($F87*10)))</f>
        <v>0</v>
      </c>
      <c r="N87" s="410" t="str">
        <f ca="1">IF((INDIRECT("'PRODUCT DATA'!$U"&amp;$A87&amp;""))=0,"0",((INDIRECT("'PRODUCT DATA'!$U"&amp;$A87&amp;""))*($F87*10)))</f>
        <v>0</v>
      </c>
      <c r="O87" s="410" t="str">
        <f ca="1">IF((INDIRECT("'PRODUCT DATA'!$V"&amp;$A87&amp;""))=0,"0",((INDIRECT("'PRODUCT DATA'!$V"&amp;$A87&amp;""))*($F87*10)))</f>
        <v>0</v>
      </c>
      <c r="P87" s="410" t="str">
        <f ca="1">IF((INDIRECT("'PRODUCT DATA'!$W"&amp;$A87&amp;""))=0,"0",((INDIRECT("'PRODUCT DATA'!$W"&amp;$A87&amp;""))*($F87*10)))</f>
        <v>0</v>
      </c>
      <c r="Q87" s="411" t="str">
        <f ca="1">IF((INDIRECT("'PRODUCT DATA'!$X"&amp;$A87&amp;""))=0,"0",((INDIRECT("'PRODUCT DATA'!$X"&amp;$A87&amp;""))*($F87*10)))</f>
        <v>0</v>
      </c>
      <c r="R87" s="411" t="str">
        <f ca="1">IF((INDIRECT("'PRODUCT DATA'!$Y"&amp;$A87&amp;""))=0,"0",((INDIRECT("'PRODUCT DATA'!$Y"&amp;$A87&amp;""))*($F87*10)))</f>
        <v>0</v>
      </c>
      <c r="S87" s="411" t="str">
        <f ca="1">IF((INDIRECT("'PRODUCT DATA'!$Z"&amp;$A87&amp;""))=0,"0",((INDIRECT("'PRODUCT DATA'!$Z"&amp;$A87&amp;""))*($F87*10)))</f>
        <v>0</v>
      </c>
      <c r="T87" s="411" t="str">
        <f ca="1">IF((INDIRECT("'PRODUCT DATA'!$AA"&amp;$A87&amp;""))=0,"0",((INDIRECT("'PRODUCT DATA'!$AA"&amp;$A87&amp;""))*($F87*10)))</f>
        <v>0</v>
      </c>
      <c r="U87" s="412" t="str">
        <f ca="1">IF((INDIRECT("'PRODUCT DATA'!$AB"&amp;$A87&amp;""))=0,"0",((INDIRECT("'PRODUCT DATA'!$AB"&amp;$A87&amp;""))*($F87*10)))</f>
        <v>0</v>
      </c>
    </row>
    <row r="88" spans="1:22" ht="19.5" customHeight="1" thickBot="1">
      <c r="C88" s="748" t="s">
        <v>261</v>
      </c>
      <c r="D88" s="749"/>
      <c r="E88" s="749"/>
      <c r="F88" s="749"/>
      <c r="G88" s="447">
        <f t="shared" ref="G88:U88" ca="1" si="75">G87*$R$15</f>
        <v>0</v>
      </c>
      <c r="H88" s="447">
        <f t="shared" ca="1" si="75"/>
        <v>0</v>
      </c>
      <c r="I88" s="447">
        <f t="shared" ca="1" si="75"/>
        <v>0</v>
      </c>
      <c r="J88" s="447">
        <f t="shared" ca="1" si="75"/>
        <v>0</v>
      </c>
      <c r="K88" s="447">
        <f t="shared" ca="1" si="75"/>
        <v>0</v>
      </c>
      <c r="L88" s="447">
        <f t="shared" ca="1" si="75"/>
        <v>0</v>
      </c>
      <c r="M88" s="447">
        <f t="shared" ca="1" si="75"/>
        <v>0</v>
      </c>
      <c r="N88" s="447">
        <f t="shared" ca="1" si="75"/>
        <v>0</v>
      </c>
      <c r="O88" s="447">
        <f t="shared" ca="1" si="75"/>
        <v>0</v>
      </c>
      <c r="P88" s="447">
        <f t="shared" ca="1" si="75"/>
        <v>0</v>
      </c>
      <c r="Q88" s="447">
        <f t="shared" ca="1" si="75"/>
        <v>0</v>
      </c>
      <c r="R88" s="447">
        <f t="shared" ca="1" si="75"/>
        <v>0</v>
      </c>
      <c r="S88" s="447">
        <f t="shared" ca="1" si="75"/>
        <v>0</v>
      </c>
      <c r="T88" s="447">
        <f t="shared" ca="1" si="75"/>
        <v>0</v>
      </c>
      <c r="U88" s="448">
        <f t="shared" ca="1" si="75"/>
        <v>0</v>
      </c>
    </row>
    <row r="89" spans="1:22" ht="19.5" hidden="1" customHeight="1" thickBot="1">
      <c r="C89" s="659"/>
      <c r="D89" s="660"/>
      <c r="E89" s="660"/>
      <c r="F89" s="660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</row>
    <row r="90" spans="1:22" ht="19.5" customHeight="1" thickTop="1">
      <c r="V90" s="17"/>
    </row>
    <row r="91" spans="1:22" ht="19.5" customHeight="1">
      <c r="V91" s="17" t="str">
        <f>id.255</f>
        <v xml:space="preserve">Manni-Plex® Total Turf  </v>
      </c>
    </row>
    <row r="92" spans="1:22" ht="19.5" customHeight="1">
      <c r="V92" s="17" t="str">
        <f>id.215</f>
        <v xml:space="preserve">Manni-Plex® Ultra Turf </v>
      </c>
    </row>
    <row r="93" spans="1:22" ht="19.5" customHeight="1">
      <c r="V93" s="17" t="str">
        <f>id.200</f>
        <v>Manni-Plex® Eagle</v>
      </c>
    </row>
    <row r="94" spans="1:22" ht="19.5" customHeight="1">
      <c r="V94" s="17" t="str">
        <f>id.285</f>
        <v>Manni-Plex® Root Builder</v>
      </c>
    </row>
    <row r="95" spans="1:22" ht="19.5" customHeight="1">
      <c r="V95" s="17" t="str">
        <f>id.315</f>
        <v>Manni-Plex® Grow</v>
      </c>
    </row>
    <row r="96" spans="1:22" ht="19.5" customHeight="1">
      <c r="V96" s="17" t="str">
        <f>id.106</f>
        <v>Manni-Plex® Foli-Cal</v>
      </c>
    </row>
    <row r="97" spans="22:22" ht="19.5" customHeight="1">
      <c r="V97" s="17" t="str">
        <f>id.310</f>
        <v>Manni-Plex® K</v>
      </c>
    </row>
    <row r="98" spans="22:22" ht="19.5" customHeight="1">
      <c r="V98" s="17" t="str">
        <f>id.141</f>
        <v>Manni-Plex® Traffic</v>
      </c>
    </row>
    <row r="99" spans="22:22" ht="19.5" customHeight="1">
      <c r="V99" s="17" t="str">
        <f>id.245</f>
        <v>Manni-Plex® Fe</v>
      </c>
    </row>
    <row r="100" spans="22:22" ht="19.5" customHeight="1">
      <c r="V100" s="17" t="str">
        <f>id.225</f>
        <v>Manni-Plex® Mg</v>
      </c>
    </row>
    <row r="101" spans="22:22" ht="19.5" customHeight="1">
      <c r="V101" s="17" t="str">
        <f>id.192</f>
        <v>Manni-Plex® Mn</v>
      </c>
    </row>
    <row r="102" spans="22:22" ht="19.5" customHeight="1">
      <c r="V102" s="17" t="str">
        <f>id.196</f>
        <v>Manni-Plex® Cal Zn</v>
      </c>
    </row>
    <row r="103" spans="22:22" ht="19.5" customHeight="1">
      <c r="V103" s="17" t="str">
        <f>id.330</f>
        <v>Manni-Plex® Cal Mag</v>
      </c>
    </row>
    <row r="104" spans="22:22" ht="19.5" customHeight="1">
      <c r="V104" s="17" t="str">
        <f>id.675</f>
        <v>Manni-Plex® Ni</v>
      </c>
    </row>
    <row r="105" spans="22:22" ht="19.5" customHeight="1">
      <c r="V105" s="17" t="str">
        <f>id.180</f>
        <v>Brandt Converge 18-3-6</v>
      </c>
    </row>
    <row r="106" spans="22:22" ht="19.5" customHeight="1">
      <c r="V106" s="17" t="str">
        <f>id.185</f>
        <v>Brandt Supreme Green</v>
      </c>
    </row>
    <row r="107" spans="22:22" ht="19.5" customHeight="1">
      <c r="V107" s="17" t="str">
        <f>id.195</f>
        <v>Brandt FlashDance</v>
      </c>
    </row>
    <row r="108" spans="22:22" ht="19.5" customHeight="1">
      <c r="V108" s="17" t="str">
        <f>id.240</f>
        <v>Brandt Converge CRN</v>
      </c>
    </row>
    <row r="109" spans="22:22" ht="19.5" customHeight="1">
      <c r="V109" s="17">
        <f>id.300</f>
        <v>0</v>
      </c>
    </row>
    <row r="110" spans="22:22" ht="19.5" customHeight="1">
      <c r="V110" s="17" t="str">
        <f>id.178</f>
        <v>Brandt In-Cyte</v>
      </c>
    </row>
    <row r="111" spans="22:22" ht="19.5" customHeight="1">
      <c r="V111" s="17">
        <f>id.177</f>
        <v>0</v>
      </c>
    </row>
    <row r="112" spans="22:22" ht="19.5" customHeight="1">
      <c r="V112" s="17">
        <f>id.860</f>
        <v>0</v>
      </c>
    </row>
    <row r="113" spans="22:22" ht="19.5" customHeight="1">
      <c r="V113" s="17">
        <f>id.840</f>
        <v>0</v>
      </c>
    </row>
    <row r="114" spans="22:22" ht="19.5" customHeight="1">
      <c r="V114" s="17">
        <f>id.800</f>
        <v>0</v>
      </c>
    </row>
    <row r="115" spans="22:22" ht="19.5" customHeight="1">
      <c r="V115" s="17">
        <f>id.650</f>
        <v>0</v>
      </c>
    </row>
    <row r="116" spans="22:22" ht="19.5" customHeight="1">
      <c r="V116" s="17">
        <f>id.600</f>
        <v>0</v>
      </c>
    </row>
    <row r="117" spans="22:22" ht="19.5" customHeight="1">
      <c r="V117" s="138" t="str">
        <f>id.x1</f>
        <v>Custom Liquid 1</v>
      </c>
    </row>
    <row r="118" spans="22:22" ht="19.5" customHeight="1">
      <c r="V118" s="138" t="str">
        <f>id.x2</f>
        <v>Custom Liquid 2</v>
      </c>
    </row>
    <row r="119" spans="22:22" ht="19.5" customHeight="1">
      <c r="V119" s="138" t="str">
        <f>id.x3</f>
        <v>Custom SOLUBLE 1</v>
      </c>
    </row>
    <row r="120" spans="22:22" ht="19.5" customHeight="1">
      <c r="V120" s="138">
        <f>id.1220</f>
        <v>0</v>
      </c>
    </row>
    <row r="121" spans="22:22" ht="19.5" customHeight="1">
      <c r="V121" s="138">
        <f>id.1270</f>
        <v>0</v>
      </c>
    </row>
    <row r="122" spans="22:22" ht="19.5" customHeight="1">
      <c r="V122" s="138">
        <f>id.1200</f>
        <v>0</v>
      </c>
    </row>
    <row r="123" spans="22:22" ht="19.5" customHeight="1">
      <c r="V123" s="138">
        <f>id.1340</f>
        <v>0</v>
      </c>
    </row>
    <row r="124" spans="22:22" ht="19.5" customHeight="1">
      <c r="V124" s="138">
        <f>id.1240</f>
        <v>0</v>
      </c>
    </row>
    <row r="125" spans="22:22" ht="19.5" customHeight="1">
      <c r="V125" s="138">
        <f>id.1360</f>
        <v>0</v>
      </c>
    </row>
    <row r="126" spans="22:22" ht="19.5" customHeight="1">
      <c r="V126" s="138">
        <f>id.1370</f>
        <v>0</v>
      </c>
    </row>
    <row r="127" spans="22:22" ht="19.5" customHeight="1">
      <c r="V127" s="138">
        <f>id.2020</f>
        <v>0</v>
      </c>
    </row>
    <row r="128" spans="22:22" ht="19.5" customHeight="1">
      <c r="V128" s="138">
        <f>id.2000</f>
        <v>0</v>
      </c>
    </row>
    <row r="129" spans="22:22" ht="19.5" customHeight="1">
      <c r="V129" s="138" t="str">
        <f>id.z1</f>
        <v>Custom Granular 1</v>
      </c>
    </row>
    <row r="130" spans="22:22" ht="19.5" customHeight="1">
      <c r="V130" s="138" t="str">
        <f>id.z2</f>
        <v>Custom Granular 2</v>
      </c>
    </row>
    <row r="131" spans="22:22" ht="19.5" customHeight="1"/>
    <row r="132" spans="22:22" ht="19.5" customHeight="1"/>
    <row r="133" spans="22:22" ht="19.5" customHeight="1"/>
    <row r="134" spans="22:22" ht="19.5" customHeight="1"/>
    <row r="135" spans="22:22" ht="19.5" customHeight="1"/>
    <row r="136" spans="22:22" ht="19.5" customHeight="1"/>
    <row r="137" spans="22:22" ht="19.5" customHeight="1"/>
    <row r="138" spans="22:22" ht="19.5" customHeight="1"/>
    <row r="139" spans="22:22" ht="19.5" customHeight="1"/>
    <row r="140" spans="22:22" ht="19.5" customHeight="1"/>
    <row r="141" spans="22:22" ht="19.5" customHeight="1"/>
    <row r="142" spans="22:22" ht="19.5" customHeight="1"/>
    <row r="143" spans="22:22" ht="19.5" customHeight="1"/>
    <row r="144" spans="22:22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 password="D361" sheet="1" objects="1" scenarios="1" selectLockedCells="1"/>
  <mergeCells count="78">
    <mergeCell ref="C3:H4"/>
    <mergeCell ref="J3:L4"/>
    <mergeCell ref="N3:P4"/>
    <mergeCell ref="C6:H7"/>
    <mergeCell ref="J6:S10"/>
    <mergeCell ref="D9:E10"/>
    <mergeCell ref="F9:G9"/>
    <mergeCell ref="J12:L12"/>
    <mergeCell ref="J13:L13"/>
    <mergeCell ref="J14:L14"/>
    <mergeCell ref="I15:L15"/>
    <mergeCell ref="C17:T17"/>
    <mergeCell ref="C11:C12"/>
    <mergeCell ref="C22:E23"/>
    <mergeCell ref="G22:U22"/>
    <mergeCell ref="C24:E24"/>
    <mergeCell ref="C25:E25"/>
    <mergeCell ref="C26:E26"/>
    <mergeCell ref="C27:E27"/>
    <mergeCell ref="C28:E28"/>
    <mergeCell ref="C29:E29"/>
    <mergeCell ref="C30:F30"/>
    <mergeCell ref="C31:F31"/>
    <mergeCell ref="C32:F32"/>
    <mergeCell ref="C33:F33"/>
    <mergeCell ref="C35:E36"/>
    <mergeCell ref="G35:U35"/>
    <mergeCell ref="C37:E37"/>
    <mergeCell ref="C38:E38"/>
    <mergeCell ref="C39:E39"/>
    <mergeCell ref="C40:E40"/>
    <mergeCell ref="C41:E41"/>
    <mergeCell ref="C42:E42"/>
    <mergeCell ref="C43:F43"/>
    <mergeCell ref="C44:F44"/>
    <mergeCell ref="C45:F45"/>
    <mergeCell ref="C46:F46"/>
    <mergeCell ref="C48:E49"/>
    <mergeCell ref="G48:U48"/>
    <mergeCell ref="C50:E50"/>
    <mergeCell ref="C51:E51"/>
    <mergeCell ref="C52:E52"/>
    <mergeCell ref="C53:E53"/>
    <mergeCell ref="C54:E54"/>
    <mergeCell ref="C55:E55"/>
    <mergeCell ref="C56:F56"/>
    <mergeCell ref="C57:F57"/>
    <mergeCell ref="C58:F58"/>
    <mergeCell ref="C59:F59"/>
    <mergeCell ref="C60:E61"/>
    <mergeCell ref="G60:U60"/>
    <mergeCell ref="C62:E62"/>
    <mergeCell ref="C63:E63"/>
    <mergeCell ref="C64:E64"/>
    <mergeCell ref="C65:E65"/>
    <mergeCell ref="C66:E66"/>
    <mergeCell ref="C67:E67"/>
    <mergeCell ref="C68:F68"/>
    <mergeCell ref="C69:F69"/>
    <mergeCell ref="C70:F70"/>
    <mergeCell ref="C73:E73"/>
    <mergeCell ref="G73:U73"/>
    <mergeCell ref="C74:E74"/>
    <mergeCell ref="C75:E75"/>
    <mergeCell ref="C76:F76"/>
    <mergeCell ref="C77:F77"/>
    <mergeCell ref="C78:E78"/>
    <mergeCell ref="C79:E79"/>
    <mergeCell ref="C80:F80"/>
    <mergeCell ref="C87:E87"/>
    <mergeCell ref="C88:F88"/>
    <mergeCell ref="C89:F89"/>
    <mergeCell ref="C81:F81"/>
    <mergeCell ref="C82:E82"/>
    <mergeCell ref="C83:E83"/>
    <mergeCell ref="C84:F84"/>
    <mergeCell ref="C85:F85"/>
    <mergeCell ref="C86:E86"/>
  </mergeCells>
  <conditionalFormatting sqref="G79:U79 G24:U29 G37:U42 G50:U55 G62:U67 G75:U75 G83:U83 G87:U87">
    <cfRule type="cellIs" dxfId="148" priority="10" stopIfTrue="1" operator="notEqual">
      <formula>"*"</formula>
    </cfRule>
  </conditionalFormatting>
  <conditionalFormatting sqref="G30:U32 G43:U45 G56:U58 G68:U70">
    <cfRule type="cellIs" dxfId="147" priority="9" stopIfTrue="1" operator="lessThanOrEqual">
      <formula>0</formula>
    </cfRule>
  </conditionalFormatting>
  <conditionalFormatting sqref="J30">
    <cfRule type="expression" dxfId="146" priority="7" stopIfTrue="1">
      <formula>"&lt;=0"</formula>
    </cfRule>
    <cfRule type="cellIs" dxfId="145" priority="8" stopIfTrue="1" operator="lessThanOrEqual">
      <formula>0</formula>
    </cfRule>
  </conditionalFormatting>
  <conditionalFormatting sqref="G78:U79 G75:U75 G82:U83 G86:U87">
    <cfRule type="cellIs" dxfId="144" priority="6" stopIfTrue="1" operator="greaterThan">
      <formula>0</formula>
    </cfRule>
  </conditionalFormatting>
  <conditionalFormatting sqref="G75:U75">
    <cfRule type="cellIs" dxfId="143" priority="5" stopIfTrue="1" operator="greaterThan">
      <formula>0</formula>
    </cfRule>
  </conditionalFormatting>
  <conditionalFormatting sqref="G76:U77">
    <cfRule type="cellIs" dxfId="142" priority="4" stopIfTrue="1" operator="lessThanOrEqual">
      <formula>0</formula>
    </cfRule>
  </conditionalFormatting>
  <conditionalFormatting sqref="G80:U81">
    <cfRule type="cellIs" dxfId="141" priority="3" stopIfTrue="1" operator="lessThanOrEqual">
      <formula>0</formula>
    </cfRule>
  </conditionalFormatting>
  <conditionalFormatting sqref="G84:U85">
    <cfRule type="cellIs" dxfId="140" priority="2" stopIfTrue="1" operator="lessThanOrEqual">
      <formula>0</formula>
    </cfRule>
  </conditionalFormatting>
  <conditionalFormatting sqref="G88:U89">
    <cfRule type="cellIs" dxfId="139" priority="1" stopIfTrue="1" operator="lessThanOrEqual">
      <formula>0</formula>
    </cfRule>
  </conditionalFormatting>
  <dataValidations count="4">
    <dataValidation type="whole" showInputMessage="1" showErrorMessage="1" sqref="M12:M15" xr:uid="{00000000-0002-0000-0400-000000000000}">
      <formula1>1</formula1>
      <formula2>1000</formula2>
    </dataValidation>
    <dataValidation type="list" allowBlank="1" showInputMessage="1" showErrorMessage="1" prompt="SELECT A PRODUCT" sqref="C75:E75" xr:uid="{00000000-0002-0000-0400-000001000000}">
      <formula1>$V$119</formula1>
    </dataValidation>
    <dataValidation type="list" allowBlank="1" showInputMessage="1" showErrorMessage="1" sqref="C62:E67 C37:E42 C24:E29 C50:E55" xr:uid="{00000000-0002-0000-0400-000002000000}">
      <formula1>$V$90:$V$118</formula1>
    </dataValidation>
    <dataValidation type="list" allowBlank="1" showInputMessage="1" showErrorMessage="1" prompt="SELECT A PRODUCT" sqref="C79:E79 C83:E83 C87:E87" xr:uid="{00000000-0002-0000-0400-000003000000}">
      <formula1>$V$120:$V$130</formula1>
    </dataValidation>
  </dataValidations>
  <printOptions horizontalCentered="1"/>
  <pageMargins left="0.3" right="0.3" top="1" bottom="0.5" header="0.25" footer="0.25"/>
  <pageSetup scale="60" fitToHeight="9" orientation="landscape" r:id="rId1"/>
  <headerFooter>
    <oddHeader>&amp;L&amp;G&amp;C&amp;"Arial,Bold"&amp;24&amp;A&amp;R&amp;"Arial,Bold"&amp;9page &amp;P of &amp;N</oddHeader>
  </headerFooter>
  <rowBreaks count="1" manualBreakCount="1">
    <brk id="46" min="2" max="20" man="1"/>
  </row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F93"/>
  <sheetViews>
    <sheetView topLeftCell="B1" workbookViewId="0"/>
  </sheetViews>
  <sheetFormatPr defaultColWidth="9.140625" defaultRowHeight="19.5" customHeight="1"/>
  <cols>
    <col min="1" max="1" width="3.7109375" style="166" hidden="1" customWidth="1"/>
    <col min="2" max="2" width="3.7109375" style="166" customWidth="1"/>
    <col min="3" max="3" width="9.7109375" style="166" customWidth="1"/>
    <col min="4" max="28" width="10.7109375" style="166" customWidth="1"/>
    <col min="29" max="16384" width="9.140625" style="166"/>
  </cols>
  <sheetData>
    <row r="1" spans="3:32" ht="15" customHeight="1" thickBot="1">
      <c r="C1" s="356" t="str">
        <f>VERSION</f>
        <v>version #BRANDT-X02-</v>
      </c>
      <c r="D1" s="173"/>
      <c r="E1" s="356" t="s">
        <v>271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3:32" ht="19.5" customHeight="1" thickTop="1" thickBot="1">
      <c r="C2" s="742" t="s">
        <v>77</v>
      </c>
      <c r="D2" s="743"/>
      <c r="E2" s="745" t="str">
        <f>IF(customer2="","",customer2)</f>
        <v/>
      </c>
      <c r="F2" s="745"/>
      <c r="G2" s="745"/>
      <c r="H2" s="745"/>
      <c r="I2" s="167"/>
      <c r="J2" s="167"/>
      <c r="K2" s="167"/>
      <c r="L2" s="168" t="s">
        <v>72</v>
      </c>
      <c r="M2" s="169">
        <f>((sq.m.a)+(sq.m.b))</f>
        <v>0</v>
      </c>
      <c r="N2" s="170" t="s">
        <v>244</v>
      </c>
      <c r="O2" s="171"/>
      <c r="P2" s="172"/>
      <c r="Q2" s="173"/>
      <c r="R2" s="702" t="s">
        <v>277</v>
      </c>
      <c r="S2" s="702"/>
      <c r="T2" s="702"/>
      <c r="U2" s="702"/>
    </row>
    <row r="3" spans="3:32" ht="19.5" customHeight="1" thickTop="1">
      <c r="C3" s="744" t="s">
        <v>272</v>
      </c>
      <c r="D3" s="607"/>
      <c r="E3" s="739" t="str">
        <f>IF(ProgeTitle="","",ProgeTitle)</f>
        <v/>
      </c>
      <c r="F3" s="739"/>
      <c r="G3" s="739"/>
      <c r="H3" s="739"/>
      <c r="I3" s="739"/>
      <c r="J3" s="174"/>
      <c r="K3" s="174"/>
      <c r="L3" s="174"/>
      <c r="M3" s="175">
        <f>((hectare.a)+(hectare.b))</f>
        <v>0</v>
      </c>
      <c r="N3" s="176" t="s">
        <v>245</v>
      </c>
      <c r="O3" s="177"/>
      <c r="P3" s="178"/>
      <c r="Q3" s="173"/>
      <c r="R3" s="173"/>
      <c r="S3" s="758">
        <f ca="1">S7+S10</f>
        <v>0</v>
      </c>
      <c r="T3" s="759"/>
      <c r="U3" s="173"/>
    </row>
    <row r="4" spans="3:32" ht="19.5" customHeight="1" thickBot="1">
      <c r="C4" s="744" t="s">
        <v>80</v>
      </c>
      <c r="D4" s="607"/>
      <c r="E4" s="180">
        <f>(end.date2-start.date2)</f>
        <v>0</v>
      </c>
      <c r="F4" s="176" t="s">
        <v>78</v>
      </c>
      <c r="G4" s="181"/>
      <c r="H4" s="766" t="s">
        <v>273</v>
      </c>
      <c r="I4" s="766"/>
      <c r="J4" s="766"/>
      <c r="K4" s="183">
        <f>mmix1.count+mmix2.count+mmix3.count+mmix4.count</f>
        <v>0</v>
      </c>
      <c r="L4" s="177"/>
      <c r="M4" s="182" t="s">
        <v>79</v>
      </c>
      <c r="N4" s="184" t="s">
        <v>81</v>
      </c>
      <c r="O4" s="185">
        <f>IF((K4=0),0,($E$4/K4))</f>
        <v>0</v>
      </c>
      <c r="P4" s="178" t="s">
        <v>78</v>
      </c>
      <c r="Q4" s="173"/>
      <c r="R4" s="193"/>
      <c r="S4" s="760"/>
      <c r="T4" s="761"/>
      <c r="U4" s="194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3:32" ht="19.5" customHeight="1" thickTop="1">
      <c r="C5" s="744"/>
      <c r="D5" s="607"/>
      <c r="E5" s="177"/>
      <c r="F5" s="177"/>
      <c r="G5" s="177"/>
      <c r="H5" s="766" t="s">
        <v>274</v>
      </c>
      <c r="I5" s="766"/>
      <c r="J5" s="766"/>
      <c r="K5" s="183">
        <f>mspreader1.count+mspreader2.count+mspreader3.count</f>
        <v>0</v>
      </c>
      <c r="L5" s="177"/>
      <c r="M5" s="182" t="s">
        <v>82</v>
      </c>
      <c r="N5" s="184" t="s">
        <v>81</v>
      </c>
      <c r="O5" s="185">
        <f>IF((K5=0),0,($E$4/K5))</f>
        <v>0</v>
      </c>
      <c r="P5" s="178" t="s">
        <v>78</v>
      </c>
      <c r="Q5" s="173"/>
      <c r="R5" s="286" t="s">
        <v>200</v>
      </c>
      <c r="S5" s="767">
        <f ca="1">S8+S11</f>
        <v>0</v>
      </c>
      <c r="T5" s="767"/>
      <c r="U5" s="194"/>
      <c r="W5" s="736"/>
      <c r="X5" s="736"/>
      <c r="Y5" s="736"/>
      <c r="Z5" s="736"/>
      <c r="AA5" s="730"/>
      <c r="AB5" s="730"/>
      <c r="AC5" s="82"/>
      <c r="AD5" s="83"/>
      <c r="AE5" s="186"/>
      <c r="AF5" s="186"/>
    </row>
    <row r="6" spans="3:32" ht="19.5" customHeight="1" thickBot="1">
      <c r="C6" s="416"/>
      <c r="D6" s="414"/>
      <c r="E6" s="177"/>
      <c r="F6" s="182" t="s">
        <v>88</v>
      </c>
      <c r="G6" s="183" t="str">
        <f>IF(mtank.area="","",($M$3/mtank.area))</f>
        <v/>
      </c>
      <c r="H6" s="766" t="s">
        <v>275</v>
      </c>
      <c r="I6" s="766"/>
      <c r="J6" s="766"/>
      <c r="K6" s="183" t="str">
        <f>IF(G6="","",(K4*G6))</f>
        <v/>
      </c>
      <c r="L6" s="177"/>
      <c r="M6" s="182"/>
      <c r="N6" s="184"/>
      <c r="O6" s="187"/>
      <c r="P6" s="178"/>
      <c r="Q6" s="173"/>
      <c r="R6" s="708" t="s">
        <v>95</v>
      </c>
      <c r="S6" s="708"/>
      <c r="T6" s="708"/>
      <c r="U6" s="708"/>
      <c r="W6" s="731"/>
      <c r="X6" s="732"/>
      <c r="Y6" s="732"/>
      <c r="Z6" s="732"/>
      <c r="AA6" s="733"/>
      <c r="AB6" s="733"/>
      <c r="AC6" s="84"/>
      <c r="AD6" s="85"/>
      <c r="AE6" s="186"/>
      <c r="AF6" s="186"/>
    </row>
    <row r="7" spans="3:32" ht="19.5" customHeight="1" thickBot="1">
      <c r="C7" s="88"/>
      <c r="D7" s="89"/>
      <c r="E7" s="188"/>
      <c r="F7" s="189" t="s">
        <v>89</v>
      </c>
      <c r="G7" s="183" t="str">
        <f>IF(mspreader.area="","",($M$3/mspreader.area))</f>
        <v/>
      </c>
      <c r="H7" s="765" t="s">
        <v>276</v>
      </c>
      <c r="I7" s="765"/>
      <c r="J7" s="765"/>
      <c r="K7" s="183" t="str">
        <f>IF(G7="","",(K5*G7))</f>
        <v/>
      </c>
      <c r="L7" s="188"/>
      <c r="M7" s="189"/>
      <c r="N7" s="190"/>
      <c r="O7" s="191"/>
      <c r="P7" s="192"/>
      <c r="Q7" s="173"/>
      <c r="R7" s="199"/>
      <c r="S7" s="762">
        <f ca="1">(SUM(liquid.proge.subcost))</f>
        <v>0</v>
      </c>
      <c r="T7" s="763"/>
      <c r="U7" s="194"/>
      <c r="W7" s="17"/>
      <c r="X7" s="17"/>
      <c r="Y7" s="17"/>
      <c r="Z7" s="17"/>
      <c r="AA7" s="86"/>
      <c r="AB7" s="86"/>
      <c r="AC7" s="87"/>
      <c r="AD7" s="85"/>
      <c r="AE7" s="186"/>
      <c r="AF7" s="186"/>
    </row>
    <row r="8" spans="3:32" ht="19.5" customHeight="1" thickTop="1" thickBot="1">
      <c r="C8" s="108"/>
      <c r="D8" s="109"/>
      <c r="E8" s="108"/>
      <c r="F8" s="109"/>
      <c r="G8" s="108"/>
      <c r="H8" s="109"/>
      <c r="I8" s="108"/>
      <c r="J8" s="109"/>
      <c r="K8" s="108"/>
      <c r="L8" s="109"/>
      <c r="M8" s="173"/>
      <c r="N8" s="449" t="s">
        <v>243</v>
      </c>
      <c r="O8" s="195"/>
      <c r="P8" s="173"/>
      <c r="Q8" s="173"/>
      <c r="R8" s="286" t="s">
        <v>176</v>
      </c>
      <c r="S8" s="764">
        <f ca="1">(SUM(liquid.proge.adjustcost))</f>
        <v>0</v>
      </c>
      <c r="T8" s="764"/>
      <c r="U8" s="194"/>
      <c r="W8" s="734"/>
      <c r="X8" s="735"/>
      <c r="Y8" s="723"/>
      <c r="Z8" s="723"/>
      <c r="AA8" s="734"/>
      <c r="AB8" s="735"/>
      <c r="AC8" s="723"/>
      <c r="AD8" s="723"/>
      <c r="AE8" s="186"/>
      <c r="AF8" s="186"/>
    </row>
    <row r="9" spans="3:32" ht="19.5" customHeight="1" thickTop="1" thickBot="1">
      <c r="C9" s="196"/>
      <c r="D9" s="697" t="s">
        <v>246</v>
      </c>
      <c r="E9" s="697"/>
      <c r="F9" s="697"/>
      <c r="G9" s="697"/>
      <c r="H9" s="697"/>
      <c r="I9" s="697"/>
      <c r="J9" s="697"/>
      <c r="K9" s="697"/>
      <c r="L9" s="698"/>
      <c r="M9" s="173"/>
      <c r="N9" s="665" t="str">
        <f>IF(proge.descrip="","",proge.descrip)</f>
        <v/>
      </c>
      <c r="O9" s="666"/>
      <c r="P9" s="667"/>
      <c r="Q9" s="173"/>
      <c r="R9" s="708" t="s">
        <v>96</v>
      </c>
      <c r="S9" s="708"/>
      <c r="T9" s="708"/>
      <c r="U9" s="708"/>
      <c r="W9" s="17"/>
      <c r="X9" s="415"/>
      <c r="Y9" s="724"/>
      <c r="Z9" s="724"/>
      <c r="AA9" s="98"/>
      <c r="AB9" s="415"/>
      <c r="AC9" s="725"/>
      <c r="AD9" s="726"/>
      <c r="AE9" s="186"/>
      <c r="AF9" s="186"/>
    </row>
    <row r="10" spans="3:32" ht="19.5" customHeight="1" thickBot="1">
      <c r="C10" s="197"/>
      <c r="D10" s="198" t="s">
        <v>0</v>
      </c>
      <c r="E10" s="117" t="s">
        <v>287</v>
      </c>
      <c r="F10" s="198" t="s">
        <v>288</v>
      </c>
      <c r="G10" s="198" t="s">
        <v>8</v>
      </c>
      <c r="H10" s="198" t="s">
        <v>9</v>
      </c>
      <c r="I10" s="198" t="s">
        <v>10</v>
      </c>
      <c r="J10" s="198" t="s">
        <v>7</v>
      </c>
      <c r="K10" s="198" t="s">
        <v>3</v>
      </c>
      <c r="L10" s="118" t="s">
        <v>4</v>
      </c>
      <c r="M10" s="173"/>
      <c r="N10" s="668"/>
      <c r="O10" s="669"/>
      <c r="P10" s="670"/>
      <c r="Q10" s="173"/>
      <c r="R10" s="199"/>
      <c r="S10" s="762">
        <f ca="1">SUM(granular.proge.subcost)</f>
        <v>0</v>
      </c>
      <c r="T10" s="763"/>
      <c r="U10" s="194"/>
      <c r="W10" s="186"/>
      <c r="X10" s="186"/>
      <c r="Y10" s="724"/>
      <c r="Z10" s="724"/>
      <c r="AA10" s="186"/>
      <c r="AB10" s="186"/>
      <c r="AC10" s="186"/>
      <c r="AD10" s="186"/>
      <c r="AE10" s="186"/>
      <c r="AF10" s="186"/>
    </row>
    <row r="11" spans="3:32" ht="19.5" customHeight="1">
      <c r="C11" s="113" t="s">
        <v>103</v>
      </c>
      <c r="D11" s="527" t="str">
        <f ca="1">IF((SUM(mmixt.n)=0),"*",SUM(mmixt.n))</f>
        <v>*</v>
      </c>
      <c r="E11" s="527" t="str">
        <f ca="1">IF((SUM(mmixt.p)=0),"*",SUM(mmixt.p))</f>
        <v>*</v>
      </c>
      <c r="F11" s="527" t="str">
        <f ca="1">IF((SUM(mmixt.k)=0),"*",SUM(mmixt.k))</f>
        <v>*</v>
      </c>
      <c r="G11" s="527" t="str">
        <f ca="1">IF((SUM(mmixt.fe)=0),"*",SUM(mmixt.fe))</f>
        <v>*</v>
      </c>
      <c r="H11" s="527" t="str">
        <f ca="1">IF((SUM(mmixt.mn)=0),"*",SUM(mmixt.mn))</f>
        <v>*</v>
      </c>
      <c r="I11" s="527" t="str">
        <f ca="1">IF((SUM(mmixt.zn)=0),"*",SUM(mmixt.zn))</f>
        <v>*</v>
      </c>
      <c r="J11" s="527" t="str">
        <f ca="1">IF((SUM(mmixt.cu)=0),"*",SUM(mmixt.cu))</f>
        <v>*</v>
      </c>
      <c r="K11" s="528" t="str">
        <f ca="1">IF((SUM(mmixt.ca)=0),"*",SUM(mmixt.ca))</f>
        <v>*</v>
      </c>
      <c r="L11" s="529" t="str">
        <f ca="1">IF((SUM(mmixt.mg)=0),"*",SUM(mmixt.mg))</f>
        <v>*</v>
      </c>
      <c r="M11" s="173"/>
      <c r="N11" s="668"/>
      <c r="O11" s="669"/>
      <c r="P11" s="670"/>
      <c r="Q11" s="173"/>
      <c r="R11" s="286" t="s">
        <v>201</v>
      </c>
      <c r="S11" s="764">
        <f ca="1">SUM(granular.proge.adjustcost)</f>
        <v>0</v>
      </c>
      <c r="T11" s="764"/>
      <c r="U11" s="194"/>
      <c r="W11" s="186"/>
      <c r="X11" s="186"/>
      <c r="Y11" s="724"/>
      <c r="Z11" s="724"/>
      <c r="AA11" s="186"/>
      <c r="AB11" s="186"/>
      <c r="AC11" s="186"/>
      <c r="AD11" s="186"/>
      <c r="AE11" s="186"/>
      <c r="AF11" s="186"/>
    </row>
    <row r="12" spans="3:32" ht="19.5" customHeight="1">
      <c r="C12" s="113" t="s">
        <v>104</v>
      </c>
      <c r="D12" s="527" t="str">
        <f ca="1">IF((SUM(mspreadt.n)=0),"*",SUM(mspreadt.n))</f>
        <v>*</v>
      </c>
      <c r="E12" s="527" t="str">
        <f ca="1">IF((SUM(mspreadt.p)=0),"*",SUM(mspreadt.p))</f>
        <v>*</v>
      </c>
      <c r="F12" s="527" t="str">
        <f ca="1">IF((SUM(mspreadt.k)=0),"*",SUM(mspreadt.k))</f>
        <v>*</v>
      </c>
      <c r="G12" s="527" t="str">
        <f ca="1">IF((SUM(mspreadt.fe)=0),"*",SUM(mspreadt.fe))</f>
        <v>*</v>
      </c>
      <c r="H12" s="527" t="str">
        <f ca="1">IF((SUM(mspreadt.mn)=0),"*",SUM(mspreadt.mn))</f>
        <v>*</v>
      </c>
      <c r="I12" s="527" t="str">
        <f ca="1">IF((SUM(mspreadt.zn)=0),"*",SUM(mspreadt.zn))</f>
        <v>*</v>
      </c>
      <c r="J12" s="527" t="str">
        <f ca="1">IF((SUM(mspreadt.cu)=0),"*",SUM(mspreadt.cu))</f>
        <v>*</v>
      </c>
      <c r="K12" s="528" t="str">
        <f ca="1">IF((SUM(mspreadt.ca)=0),"*",SUM(mspreadt.ca))</f>
        <v>*</v>
      </c>
      <c r="L12" s="529" t="str">
        <f ca="1">IF((SUM(mspreadt.mg)=0),"*",SUM(mspreadt.mg))</f>
        <v>*</v>
      </c>
      <c r="M12" s="173"/>
      <c r="N12" s="668"/>
      <c r="O12" s="669"/>
      <c r="P12" s="670"/>
      <c r="Q12" s="173"/>
      <c r="R12" s="193"/>
      <c r="S12" s="193"/>
      <c r="T12" s="193"/>
      <c r="U12" s="193"/>
      <c r="W12" s="186"/>
      <c r="X12" s="186"/>
      <c r="Y12" s="724"/>
      <c r="Z12" s="724"/>
      <c r="AA12" s="186"/>
      <c r="AB12" s="186"/>
      <c r="AC12" s="186"/>
      <c r="AD12" s="186"/>
      <c r="AE12" s="186"/>
      <c r="AF12" s="186"/>
    </row>
    <row r="13" spans="3:32" ht="19.5" customHeight="1" thickBot="1">
      <c r="C13" s="114" t="s">
        <v>105</v>
      </c>
      <c r="D13" s="530">
        <f t="shared" ref="D13:L13" ca="1" si="0">IF(SUM(D11:D12)=0,0,SUM(D11:D12))</f>
        <v>0</v>
      </c>
      <c r="E13" s="530">
        <f t="shared" ca="1" si="0"/>
        <v>0</v>
      </c>
      <c r="F13" s="530">
        <f t="shared" ca="1" si="0"/>
        <v>0</v>
      </c>
      <c r="G13" s="530">
        <f t="shared" ca="1" si="0"/>
        <v>0</v>
      </c>
      <c r="H13" s="530">
        <f t="shared" ca="1" si="0"/>
        <v>0</v>
      </c>
      <c r="I13" s="530">
        <f t="shared" ca="1" si="0"/>
        <v>0</v>
      </c>
      <c r="J13" s="530">
        <f t="shared" ca="1" si="0"/>
        <v>0</v>
      </c>
      <c r="K13" s="530">
        <f t="shared" ca="1" si="0"/>
        <v>0</v>
      </c>
      <c r="L13" s="531">
        <f t="shared" ca="1" si="0"/>
        <v>0</v>
      </c>
      <c r="M13" s="173"/>
      <c r="N13" s="668"/>
      <c r="O13" s="669"/>
      <c r="P13" s="670"/>
      <c r="Q13" s="173"/>
      <c r="R13" s="193"/>
      <c r="S13" s="193"/>
      <c r="T13" s="193"/>
      <c r="U13" s="193"/>
      <c r="W13" s="186"/>
      <c r="X13" s="186"/>
      <c r="Y13" s="724"/>
      <c r="Z13" s="724"/>
      <c r="AA13" s="186"/>
      <c r="AB13" s="186"/>
      <c r="AC13" s="186"/>
      <c r="AD13" s="186"/>
      <c r="AE13" s="186"/>
      <c r="AF13" s="186"/>
    </row>
    <row r="14" spans="3:32" s="186" customFormat="1" ht="19.5" customHeight="1" thickTop="1">
      <c r="C14" s="115" t="s">
        <v>107</v>
      </c>
      <c r="D14" s="211" t="str">
        <f ca="1">IF(AND(mall.n=0,target.n2=0),"*",IF((mall.n&gt;=target.n2*0.95),5,IF((AND(mall.n&lt;target.n2*0.95,mall.n&gt;=target.n2*0.9)),4,IF((AND(mall.n&lt;target.n2*0.9,mall.n&gt;=target.n2*0.85)),3,IF((AND(mall.n&lt;target.n2*0.85,mall.n&gt;=target.n2*0.8)),2,IF((mall.n&lt;target.n2*0.8),1))))))</f>
        <v>*</v>
      </c>
      <c r="E14" s="211" t="str">
        <f ca="1">IF(AND(mall.p=0,target.p2=0),"*",IF((mall.p&gt;=target.p2*0.95),5,IF((AND(mall.p&lt;target.p2*0.95,mall.p&gt;=target.p2*0.9)),4,IF((AND(mall.p&lt;target.p2*0.9,mall.p&gt;=target.p2*0.85)),3,IF((AND(mall.p&lt;target.p2*0.85,mall.p&gt;=target.p2*0.8)),2,IF((mall.p&lt;target.p2*0.8),1))))))</f>
        <v>*</v>
      </c>
      <c r="F14" s="211" t="str">
        <f ca="1">IF(AND(mall.k=0,target.k2=0),"*",IF((mall.k&gt;=target.k2*0.95),5,IF((AND(mall.k&lt;target.k2*0.95,mall.k&gt;=target.k2*0.9)),4,IF((AND(mall.k&lt;target.k2*0.9,mall.k&gt;=target.k2*0.85)),3,IF((AND(mall.k&lt;target.k2*0.85,mall.k&gt;=target.k2*0.8)),2,IF((mall.k&lt;target.k2*0.8),1))))))</f>
        <v>*</v>
      </c>
      <c r="G14" s="211" t="str">
        <f ca="1">IF(AND(mall.fe=0,target.fe2=0),"*",IF((mall.fe&gt;=target.fe2*0.95),5,IF((AND(mall.fe&lt;target.fe2*0.95,mall.fe&gt;=target.fe2*0.9)),4,IF((AND(mall.fe&lt;target.fe2*0.9,mall.fe&gt;=target.fe2*0.85)),3,IF((AND(mall.fe&lt;target.fe2*0.85,mall.fe&gt;=target.fe2*0.8)),2,IF((mall.fe&lt;target.fe2*0.8),1))))))</f>
        <v>*</v>
      </c>
      <c r="H14" s="211" t="str">
        <f ca="1">IF(AND(mall.mn=0,target.mn2=0),"*",IF((mall.mn&gt;=target.mn2*0.95),5,IF((AND(mall.mn&lt;target.mn2*0.95,mall.mn&gt;=target.mn2*0.9)),4,IF((AND(mall.mn&lt;target.mn2*0.9,mall.mn&gt;=target.mn2*0.85)),3,IF((AND(mall.mn&lt;target.mn2*0.85,mall.mn&gt;=target.mn2*0.8)),2,IF((mall.mn&lt;target.mn2*0.8),1))))))</f>
        <v>*</v>
      </c>
      <c r="I14" s="211" t="str">
        <f ca="1">IF(AND(mall.zn=0,target.zn2=0),"*",IF((mall.zn&gt;=target.zn2*0.95),5,IF((AND(mall.zn&lt;target.zn2*0.95,mall.zn&gt;=target.zn2*0.9)),4,IF((AND(mall.zn&lt;target.zn2*0.9,mall.zn&gt;=target.zn2*0.85)),3,IF((AND(mall.zn&lt;target.zn2*0.85,mall.zn&gt;=target.zn2*0.8)),2,IF((mall.zn&lt;target.zn2*0.8),1))))))</f>
        <v>*</v>
      </c>
      <c r="J14" s="211" t="str">
        <f ca="1">IF(AND(mall.cu=0,target.cu2=0),"*",IF((mall.cu&gt;=target.cu2*0.95),5,IF((AND(mall.cu&lt;target.cu2*0.95,mall.cu&gt;=target.cu2*0.9)),4,IF((AND(mall.cu&lt;target.cu2*0.9,mall.cu&gt;=target.cu2*0.85)),3,IF((AND(mall.cu&lt;target.cu2*0.85,mall.cu&gt;=target.cu2*0.8)),2,IF((mall.cu&lt;target.cu2*0.8),1))))))</f>
        <v>*</v>
      </c>
      <c r="K14" s="211" t="str">
        <f ca="1">IF(AND(mall.ca=0,target.ca2=0),"*",IF((mall.ca&gt;=target.ca2*0.95),5,IF((AND(mall.ca&lt;target.ca2*0.95,mall.ca&gt;=target.ca2*0.9)),4,IF((AND(mall.ca&lt;target.ca2*0.9,mall.ca&gt;=target.ca2*0.85)),3,IF((AND(mall.ca&lt;target.ca2*0.85,mall.ca&gt;=target.ca2*0.8)),2,IF((mall.ca&lt;target.ca2*0.8),1))))))</f>
        <v>*</v>
      </c>
      <c r="L14" s="211" t="str">
        <f ca="1">IF(AND(mall.mg=0,target.mg2=0),"*",IF((mall.mg&gt;=target.mg2*0.95),5,IF((AND(mall.mg&lt;target.mg2*0.95,mall.mg&gt;=target.mg2*0.9)),4,IF((AND(mall.mg&lt;target.mg2*0.9,mall.mg&gt;=target.mg2*0.85)),3,IF((AND(mall.mg&lt;target.mg2*0.85,mall.mg&gt;=target.mg2*0.8)),2,IF((mall.mg&lt;target.p2*0.8),1))))))</f>
        <v>*</v>
      </c>
      <c r="M14" s="193"/>
      <c r="N14" s="668"/>
      <c r="O14" s="669"/>
      <c r="P14" s="670"/>
      <c r="Q14" s="193"/>
      <c r="R14" s="193"/>
      <c r="S14" s="193"/>
      <c r="T14" s="193"/>
      <c r="U14" s="193"/>
      <c r="V14" s="166"/>
    </row>
    <row r="15" spans="3:32" s="186" customFormat="1" ht="19.5" customHeight="1">
      <c r="C15" s="200"/>
      <c r="D15" s="201" t="str">
        <f>IF((target.n2=0),"*",target.n2)</f>
        <v>*</v>
      </c>
      <c r="E15" s="201" t="str">
        <f>IF((target.p2=0),"*",target.p2)</f>
        <v>*</v>
      </c>
      <c r="F15" s="201" t="str">
        <f>IF((target.k2=0),"*",target.k2)</f>
        <v>*</v>
      </c>
      <c r="G15" s="201" t="str">
        <f>IF((target.fe2=0),"*",target.fe2)</f>
        <v>*</v>
      </c>
      <c r="H15" s="201" t="str">
        <f>IF((target.mn2=0),"*",target.mn2)</f>
        <v>*</v>
      </c>
      <c r="I15" s="201" t="str">
        <f>IF((target.zn2=0),"*",target.zn2)</f>
        <v>*</v>
      </c>
      <c r="J15" s="201" t="str">
        <f>IF((target.cu2=0),"*",target.cu2)</f>
        <v>*</v>
      </c>
      <c r="K15" s="201" t="str">
        <f>IF((target.ca2=0),"*",target.ca2)</f>
        <v>*</v>
      </c>
      <c r="L15" s="201" t="str">
        <f>IF((target.mg2=0),"*",target.mg2)</f>
        <v>*</v>
      </c>
      <c r="M15" s="193"/>
      <c r="N15" s="668"/>
      <c r="O15" s="669"/>
      <c r="P15" s="670"/>
      <c r="Q15" s="193"/>
      <c r="R15" s="737" t="s">
        <v>251</v>
      </c>
      <c r="S15" s="729"/>
      <c r="T15" s="729"/>
      <c r="U15" s="193"/>
      <c r="V15" s="166"/>
    </row>
    <row r="16" spans="3:32" s="186" customFormat="1" ht="19.5" customHeight="1" thickBot="1">
      <c r="C16" s="202"/>
      <c r="D16" s="541"/>
      <c r="E16" s="542"/>
      <c r="F16" s="542"/>
      <c r="G16" s="542"/>
      <c r="H16" s="542"/>
      <c r="I16" s="542"/>
      <c r="J16" s="541"/>
      <c r="K16" s="541"/>
      <c r="L16" s="541"/>
      <c r="M16" s="193"/>
      <c r="N16" s="668"/>
      <c r="O16" s="669"/>
      <c r="P16" s="670"/>
      <c r="Q16" s="193"/>
      <c r="R16" s="738"/>
      <c r="S16" s="729"/>
      <c r="T16" s="729"/>
      <c r="U16" s="193"/>
      <c r="V16" s="166"/>
      <c r="W16" s="166"/>
      <c r="X16" s="166"/>
    </row>
    <row r="17" spans="1:32" s="186" customFormat="1" ht="19.5" customHeight="1" thickBot="1">
      <c r="C17" s="113"/>
      <c r="D17" s="198" t="s">
        <v>5</v>
      </c>
      <c r="E17" s="198" t="s">
        <v>6</v>
      </c>
      <c r="F17" s="198" t="s">
        <v>11</v>
      </c>
      <c r="G17" s="198" t="s">
        <v>12</v>
      </c>
      <c r="H17" s="198" t="s">
        <v>13</v>
      </c>
      <c r="I17" s="198" t="s">
        <v>102</v>
      </c>
      <c r="J17" s="543"/>
      <c r="K17" s="205"/>
      <c r="L17" s="206"/>
      <c r="M17" s="193"/>
      <c r="N17" s="668"/>
      <c r="O17" s="669"/>
      <c r="P17" s="670"/>
      <c r="Q17" s="452" t="s">
        <v>247</v>
      </c>
      <c r="R17" s="453"/>
      <c r="S17" s="728"/>
      <c r="T17" s="728"/>
      <c r="U17" s="193"/>
      <c r="V17" s="166"/>
      <c r="W17" s="166"/>
      <c r="X17" s="166"/>
    </row>
    <row r="18" spans="1:32" ht="19.5" customHeight="1" thickBot="1">
      <c r="C18" s="113" t="s">
        <v>103</v>
      </c>
      <c r="D18" s="527" t="str">
        <f ca="1">IF((SUM(mmixt.s)=0),"*",SUM(mmixt.s))</f>
        <v>*</v>
      </c>
      <c r="E18" s="527" t="str">
        <f ca="1">IF((SUM(mmixt.b)=0),"*",SUM(mmixt.b))</f>
        <v>*</v>
      </c>
      <c r="F18" s="527" t="str">
        <f ca="1">IF((SUM(mmixt.si)=0),"*",SUM(mmixt.si))</f>
        <v>*</v>
      </c>
      <c r="G18" s="527" t="str">
        <f ca="1">IF((SUM(mmixt.mo)=0),"*",SUM(mmixt.mo))</f>
        <v>*</v>
      </c>
      <c r="H18" s="527" t="str">
        <f ca="1">IF((SUM(mmixt.co)=0),"*",SUM(mmixt.co))</f>
        <v>*</v>
      </c>
      <c r="I18" s="527" t="str">
        <f ca="1">IF((SUM(mmixt.hpo3)=0),"*",SUM(mmixt.hpo3))</f>
        <v>*</v>
      </c>
      <c r="J18" s="527"/>
      <c r="K18" s="528"/>
      <c r="L18" s="529"/>
      <c r="M18" s="173"/>
      <c r="N18" s="668"/>
      <c r="O18" s="669"/>
      <c r="P18" s="670"/>
      <c r="Q18" s="454" t="s">
        <v>249</v>
      </c>
      <c r="R18" s="453"/>
      <c r="S18" s="209"/>
      <c r="T18" s="210"/>
      <c r="U18" s="173"/>
    </row>
    <row r="19" spans="1:32" ht="19.5" customHeight="1" thickBot="1">
      <c r="C19" s="113" t="s">
        <v>104</v>
      </c>
      <c r="D19" s="527" t="str">
        <f ca="1">IF((SUM(mspreadt.s)=0),"*",SUM(mspreadt.s))</f>
        <v>*</v>
      </c>
      <c r="E19" s="527" t="str">
        <f ca="1">IF((SUM(mspreadt.b)=0),"*",SUM(mspreadt.b))</f>
        <v>*</v>
      </c>
      <c r="F19" s="527" t="str">
        <f ca="1">IF((SUM(mspreadt.si)=0),"*",SUM(mspreadt.si))</f>
        <v>*</v>
      </c>
      <c r="G19" s="527" t="str">
        <f ca="1">IF((SUM(mspreadt.mo)=0),"*",SUM(mspreadt.mo))</f>
        <v>*</v>
      </c>
      <c r="H19" s="527" t="str">
        <f ca="1">IF((SUM(mspreadt.co)=0),"*",SUM(mspreadt.co))</f>
        <v>*</v>
      </c>
      <c r="I19" s="527" t="str">
        <f ca="1">IF((SUM(mspreadt.hpo3)=0),"*",SUM(mspreadt.hpo3))</f>
        <v>*</v>
      </c>
      <c r="J19" s="527"/>
      <c r="K19" s="528"/>
      <c r="L19" s="529"/>
      <c r="M19" s="173"/>
      <c r="N19" s="668"/>
      <c r="O19" s="669"/>
      <c r="P19" s="670"/>
      <c r="Q19" s="454" t="s">
        <v>250</v>
      </c>
      <c r="R19" s="453"/>
      <c r="S19" s="209"/>
      <c r="T19" s="210"/>
      <c r="U19" s="173"/>
    </row>
    <row r="20" spans="1:32" ht="19.5" customHeight="1" thickBot="1">
      <c r="C20" s="116" t="s">
        <v>105</v>
      </c>
      <c r="D20" s="530">
        <f t="shared" ref="D20:I20" ca="1" si="1">IF(SUM(D18:D19)=0,0,SUM(D18:D19))</f>
        <v>0</v>
      </c>
      <c r="E20" s="530">
        <f t="shared" ca="1" si="1"/>
        <v>0</v>
      </c>
      <c r="F20" s="530">
        <f t="shared" ca="1" si="1"/>
        <v>0</v>
      </c>
      <c r="G20" s="530">
        <f t="shared" ca="1" si="1"/>
        <v>0</v>
      </c>
      <c r="H20" s="530">
        <f t="shared" ca="1" si="1"/>
        <v>0</v>
      </c>
      <c r="I20" s="530">
        <f t="shared" ca="1" si="1"/>
        <v>0</v>
      </c>
      <c r="J20" s="530"/>
      <c r="K20" s="530"/>
      <c r="L20" s="531"/>
      <c r="M20" s="173"/>
      <c r="N20" s="668"/>
      <c r="O20" s="669"/>
      <c r="P20" s="670"/>
      <c r="Q20" s="454" t="s">
        <v>248</v>
      </c>
      <c r="R20" s="453"/>
      <c r="S20" s="209"/>
      <c r="T20" s="210"/>
      <c r="U20" s="173"/>
    </row>
    <row r="21" spans="1:32" s="17" customFormat="1" ht="19.5" customHeight="1" thickTop="1">
      <c r="A21" s="70"/>
      <c r="B21" s="70"/>
      <c r="C21" s="115" t="s">
        <v>107</v>
      </c>
      <c r="D21" s="211" t="str">
        <f ca="1">IF(AND(mall.s=0,target.s2=0),"*",IF((mall.s&gt;=target.s2*0.95),5,IF((AND(mall.s&lt;target.s2*0.95,mall.s&gt;=target.s2*0.9)),4,IF((AND(mall.s&lt;target.s2*0.9,mall.s&gt;=target.s2*0.85)),3,IF((AND(mall.s&lt;target.s2*0.85,mall.s&gt;=target.s2*0.8)),2,IF((mall.s&lt;target.s2*0.8),1))))))</f>
        <v>*</v>
      </c>
      <c r="E21" s="211" t="str">
        <f ca="1">IF(AND(mall.b=0,target.b2=0),"*",IF((mall.b&gt;=target.b2*0.95),5,IF((AND(mall.b&lt;target.b2*0.95,mall.b&gt;=target.b2*0.9)),4,IF((AND(mall.b&lt;target.b2*0.9,mall.b&gt;=target.b2*0.85)),3,IF((AND(mall.b&lt;target.b2*0.85,mall.b&gt;=target.b2*0.8)),2,IF((mall.b&lt;target.b2*0.8),1))))))</f>
        <v>*</v>
      </c>
      <c r="F21" s="211" t="str">
        <f ca="1">IF(AND(mall.si=0,target.si2=0),"*",IF((mall.si&gt;=target.si2*0.95),5,IF((AND(mall.si&lt;target.si2*0.95,mall.si&gt;=target.si2*0.9)),4,IF((AND(mall.si&lt;target.si2*0.9,mall.si&gt;=target.si2*0.85)),3,IF((AND(mall.si&lt;target.si2*0.85,mall.si&gt;=target.si2*0.8)),2,IF((mall.si&lt;target.si2*0.8),1))))))</f>
        <v>*</v>
      </c>
      <c r="G21" s="211" t="str">
        <f ca="1">IF(AND(mall.mo=0,target.mo2=0),"*",IF((mall.mo&gt;=target.mo2*0.95),5,IF((AND(mall.mo&lt;target.mo2*0.95,mall.mo&gt;=target.mo2*0.9)),4,IF((AND(mall.mo&lt;target.mo2*0.9,mall.mo&gt;=target.mo2*0.85)),3,IF((AND(mall.mo&lt;target.mo2*0.85,mall.mo&gt;=target.mo2*0.8)),2,IF((mall.mo&lt;target.mo2*0.8),1))))))</f>
        <v>*</v>
      </c>
      <c r="H21" s="211" t="str">
        <f ca="1">IF(AND(mall.co=0,target.co2=0),"*",IF((mall.co&gt;=target.co2*0.95),5,IF((AND(mall.co&lt;target.co2*0.95,mall.co&gt;=target.co2*0.9)),4,IF((AND(mall.co&lt;target.p2*0.9,mall.co&gt;=target.co2*0.85)),3,IF((AND(mall.co&lt;target.co2*0.85,mall.co&gt;=target.co2*0.8)),2,IF((mall.co&lt;target.co2*0.8),1))))))</f>
        <v>*</v>
      </c>
      <c r="I21" s="211" t="str">
        <f ca="1">IF(AND(mall.hpo3=0,target.hpo32=0),"*",IF((mall.hpo3&gt;=target.hpo32*0.95),5,IF((AND(mall.hpo3&lt;target.hpo32*0.95,mall.hpo3&gt;=target.hpo32*0.9)),4,IF((AND(mall.hpo3&lt;target.hpo32*0.9,mall.hpo3&gt;=target.hpo32*0.85)),3,IF((AND(mall.hpo3&lt;target.hpo32*0.85,mall.hpo3&gt;=target.hpo32*0.8)),2,IF((mall.hpo3&lt;target.hpo32*0.8),1))))))</f>
        <v>*</v>
      </c>
      <c r="J21" s="211"/>
      <c r="K21" s="211"/>
      <c r="L21" s="260"/>
      <c r="M21" s="81"/>
      <c r="N21" s="668"/>
      <c r="O21" s="669"/>
      <c r="P21" s="670"/>
      <c r="Q21" s="454"/>
      <c r="R21" s="485"/>
      <c r="S21" s="210"/>
      <c r="T21" s="210"/>
      <c r="U21" s="340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7" customFormat="1" ht="19.5" customHeight="1" thickBot="1">
      <c r="A22" s="70"/>
      <c r="B22" s="70"/>
      <c r="C22" s="144"/>
      <c r="D22" s="207" t="str">
        <f>IF((target.s2=0),"*",target.s2)</f>
        <v>*</v>
      </c>
      <c r="E22" s="207" t="str">
        <f>IF((target.b2=0),"*",target.b2)</f>
        <v>*</v>
      </c>
      <c r="F22" s="207" t="str">
        <f>IF((target.si2=0),"*",target.si2)</f>
        <v>*</v>
      </c>
      <c r="G22" s="207" t="str">
        <f>IF((target.mo2=0),"*",target.mo2)</f>
        <v>*</v>
      </c>
      <c r="H22" s="207" t="str">
        <f>IF((target.co2=0),"*",target.co2)</f>
        <v>*</v>
      </c>
      <c r="I22" s="207" t="str">
        <f>IF((target.hpo32=0),"*",target.hpo32)</f>
        <v>*</v>
      </c>
      <c r="J22" s="207"/>
      <c r="K22" s="207"/>
      <c r="L22" s="208"/>
      <c r="M22" s="81"/>
      <c r="N22" s="671"/>
      <c r="O22" s="672"/>
      <c r="P22" s="673"/>
      <c r="Q22" s="454"/>
      <c r="R22" s="485"/>
      <c r="S22" s="210"/>
      <c r="T22" s="210"/>
      <c r="U22" s="340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7" customFormat="1" ht="9" customHeight="1" thickTop="1" thickBot="1">
      <c r="A23" s="70"/>
      <c r="B23" s="70"/>
      <c r="C23" s="90"/>
      <c r="D23" s="90"/>
      <c r="E23" s="90"/>
      <c r="F23" s="73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7" customFormat="1" ht="19.5" customHeight="1" thickTop="1">
      <c r="C24" s="687" t="s">
        <v>66</v>
      </c>
      <c r="D24" s="688"/>
      <c r="E24" s="688"/>
      <c r="F24" s="695"/>
      <c r="G24" s="695" t="s">
        <v>252</v>
      </c>
      <c r="H24" s="695" t="s">
        <v>253</v>
      </c>
      <c r="I24" s="695" t="s">
        <v>259</v>
      </c>
      <c r="J24" s="695" t="s">
        <v>86</v>
      </c>
      <c r="K24" s="750" t="s">
        <v>260</v>
      </c>
      <c r="L24" s="679" t="s">
        <v>254</v>
      </c>
      <c r="M24" s="680"/>
      <c r="N24" s="752" t="s">
        <v>255</v>
      </c>
      <c r="O24" s="756"/>
      <c r="P24" s="752" t="s">
        <v>256</v>
      </c>
      <c r="Q24" s="756"/>
      <c r="R24" s="752" t="s">
        <v>257</v>
      </c>
      <c r="S24" s="756"/>
      <c r="T24" s="752" t="s">
        <v>258</v>
      </c>
      <c r="U24" s="753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7" customFormat="1" ht="20.100000000000001" customHeight="1" thickBot="1">
      <c r="C25" s="689"/>
      <c r="D25" s="690"/>
      <c r="E25" s="690"/>
      <c r="F25" s="696"/>
      <c r="G25" s="696"/>
      <c r="H25" s="696"/>
      <c r="I25" s="696"/>
      <c r="J25" s="696"/>
      <c r="K25" s="751"/>
      <c r="L25" s="681"/>
      <c r="M25" s="682"/>
      <c r="N25" s="754"/>
      <c r="O25" s="757"/>
      <c r="P25" s="754"/>
      <c r="Q25" s="757"/>
      <c r="R25" s="754"/>
      <c r="S25" s="757"/>
      <c r="T25" s="754"/>
      <c r="U25" s="75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7" customFormat="1" ht="20.100000000000001" customHeight="1">
      <c r="A26" s="70" t="str">
        <f t="shared" ref="A26:A31" si="2">IF(($C26=id.255),3,IF(($C26=id.256),4,IF(($C26=id.215),5,IF(($C26=id.200),7,IF(($C26=id.285),10,IF(($C26=id.210),12,IF(($C26=id.106),13,IF(($C26=id.310),14,IF(($C26=id.141),15,IF(($C26=id.360),16,IF(($C26=id.245),17,IF(($C26=id.225),18,IF(($C26=id.192),19,IF(($C26=id.196),20,IF(($C26=id.330),21,IF(($C26=id.675),22,IF(($C26=id.730),23,IF(($C26=id.855),24,IF(($C26=id.180),28,IF(($C26=id.185),29,IF(($C26=id.195),30,IF(($C26=id.240),31,IF(($C26=id.300),32,IF(($C26=id.177),33,IF(($C26=id.860),35,IF(($C26=id.840),36,IF(($C26=id.865),37,IF(($C26=id.800),38,IF(($C26=id.600),41,IF(($C26=id.x1),43,IF(($C26=id.x2),44,"42")))))))))))))))))))))))))))))))</f>
        <v>42</v>
      </c>
      <c r="B26" s="70"/>
      <c r="C26" s="716" t="str">
        <f>IF((mm1.1=""),"",mm1.1)</f>
        <v>Ultraplex®</v>
      </c>
      <c r="D26" s="717"/>
      <c r="E26" s="717"/>
      <c r="F26" s="94"/>
      <c r="G26" s="455">
        <f>IF(($C26=""),"*",IF((mm1r.1=""),"*",((mm1r.1*(total.hectares))*((mmix1.count)))))</f>
        <v>0</v>
      </c>
      <c r="H26" s="455">
        <f t="shared" ref="H26:H31" ca="1" si="3">IF(($C26=""),"*",(INDIRECT("'PRODUCT DATA'!$D"&amp;$A26&amp;"")*global.discount))</f>
        <v>0</v>
      </c>
      <c r="I26" s="455" t="str">
        <f ca="1">IF(OR($C26="",$H26=0),"*",(($H26)*mm1r.1))</f>
        <v>*</v>
      </c>
      <c r="J26" s="455" t="str">
        <f t="shared" ref="J26:J31" ca="1" si="4">IF(OR($C26="",$H26=0),"*",($H26*$G26/mmix1.count))</f>
        <v>*</v>
      </c>
      <c r="K26" s="455" t="str">
        <f t="shared" ref="K26:K31" ca="1" si="5">IF(OR($C26="",$H26=0),"*",($H26*$G26))</f>
        <v>*</v>
      </c>
      <c r="L26" s="456">
        <f t="shared" ref="L26:L31" si="6">IF(($C26=""),"0",(ROUNDUP(($G26/20),0)))</f>
        <v>0</v>
      </c>
      <c r="M26" s="455" t="str">
        <f t="shared" ref="M26:M31" ca="1" si="7">IF(OR($C26="",$H26=0),"*",$H26*($L26*20))</f>
        <v>*</v>
      </c>
      <c r="N26" s="461" t="str">
        <f t="shared" ref="N26:N31" si="8">IF(($L26*20)&lt;60,"*",($G26/60))</f>
        <v>*</v>
      </c>
      <c r="O26" s="461" t="str">
        <f t="shared" ref="O26:O31" ca="1" si="9">IF(OR($N26="*",$H26=0),"*",($H26-$R$17)*($N26*60))</f>
        <v>*</v>
      </c>
      <c r="P26" s="461" t="str">
        <f t="shared" ref="P26:P31" si="10">IF(($L26*20)&lt;120,"*",($G26/120))</f>
        <v>*</v>
      </c>
      <c r="Q26" s="461" t="str">
        <f t="shared" ref="Q26:Q31" ca="1" si="11">IF(OR($P26="*",$H26=0),"*",($H26-$R$18)*($P26*120))</f>
        <v>*</v>
      </c>
      <c r="R26" s="461" t="str">
        <f t="shared" ref="R26:R31" si="12">IF(($L26*20)&lt;220,"*",($G26/220))</f>
        <v>*</v>
      </c>
      <c r="S26" s="461" t="str">
        <f t="shared" ref="S26:S31" ca="1" si="13">IF(OR($R26="*",$H26=0),"*",($H26-$R$19)*($R26*220))</f>
        <v>*</v>
      </c>
      <c r="T26" s="461" t="str">
        <f t="shared" ref="T26:T31" si="14">IF(($L26*20)&lt;1080,"*",($G26/1080))</f>
        <v>*</v>
      </c>
      <c r="U26" s="462" t="str">
        <f t="shared" ref="U26:U31" ca="1" si="15">IF(OR($T26="*",$H26=0),"*",($H26-$R$20)*($T26*1080))</f>
        <v>*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7" customFormat="1" ht="20.100000000000001" customHeight="1">
      <c r="A27" s="70" t="str">
        <f t="shared" si="2"/>
        <v>42</v>
      </c>
      <c r="B27" s="70"/>
      <c r="C27" s="716" t="str">
        <f>IF((mm1.2=""),"",mm1.2)</f>
        <v>Gary's Green®</v>
      </c>
      <c r="D27" s="717"/>
      <c r="E27" s="717"/>
      <c r="F27" s="94"/>
      <c r="G27" s="455">
        <f>IF(($C27=""),"*",IF((mm1r.2=""),"*",((mm1r.2*(total.hectares))*((mmix1.count)))))</f>
        <v>0</v>
      </c>
      <c r="H27" s="455">
        <f t="shared" ca="1" si="3"/>
        <v>0</v>
      </c>
      <c r="I27" s="455" t="str">
        <f ca="1">IF(OR($C27="",$H27=0),"*",(($H27)*mm1r.2))</f>
        <v>*</v>
      </c>
      <c r="J27" s="455" t="str">
        <f t="shared" ca="1" si="4"/>
        <v>*</v>
      </c>
      <c r="K27" s="455" t="str">
        <f t="shared" ca="1" si="5"/>
        <v>*</v>
      </c>
      <c r="L27" s="456">
        <f t="shared" si="6"/>
        <v>0</v>
      </c>
      <c r="M27" s="455" t="str">
        <f t="shared" ca="1" si="7"/>
        <v>*</v>
      </c>
      <c r="N27" s="461" t="str">
        <f t="shared" si="8"/>
        <v>*</v>
      </c>
      <c r="O27" s="461" t="str">
        <f t="shared" ca="1" si="9"/>
        <v>*</v>
      </c>
      <c r="P27" s="461" t="str">
        <f t="shared" si="10"/>
        <v>*</v>
      </c>
      <c r="Q27" s="461" t="str">
        <f t="shared" ca="1" si="11"/>
        <v>*</v>
      </c>
      <c r="R27" s="461" t="str">
        <f t="shared" si="12"/>
        <v>*</v>
      </c>
      <c r="S27" s="461" t="str">
        <f t="shared" ca="1" si="13"/>
        <v>*</v>
      </c>
      <c r="T27" s="461" t="str">
        <f t="shared" si="14"/>
        <v>*</v>
      </c>
      <c r="U27" s="462" t="str">
        <f t="shared" ca="1" si="15"/>
        <v>*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7" customFormat="1" ht="20.100000000000001" customHeight="1">
      <c r="A28" s="70">
        <f t="shared" si="2"/>
        <v>16</v>
      </c>
      <c r="B28" s="70"/>
      <c r="C28" s="716" t="str">
        <f>IF((mm1.3=""),"",mm1.3)</f>
        <v/>
      </c>
      <c r="D28" s="717"/>
      <c r="E28" s="717"/>
      <c r="F28" s="94"/>
      <c r="G28" s="455" t="str">
        <f>IF(($C28=""),"*",IF((mm1r.3=""),"*",((mm1r.3*(total.hectares))*((mmix1.count)))))</f>
        <v>*</v>
      </c>
      <c r="H28" s="455" t="str">
        <f t="shared" ca="1" si="3"/>
        <v>*</v>
      </c>
      <c r="I28" s="455" t="str">
        <f ca="1">IF(OR($C28="",$H28=0),"*",(($H28)*mm1r.3))</f>
        <v>*</v>
      </c>
      <c r="J28" s="455" t="str">
        <f t="shared" ca="1" si="4"/>
        <v>*</v>
      </c>
      <c r="K28" s="455" t="str">
        <f t="shared" ca="1" si="5"/>
        <v>*</v>
      </c>
      <c r="L28" s="456" t="str">
        <f t="shared" si="6"/>
        <v>0</v>
      </c>
      <c r="M28" s="455" t="str">
        <f t="shared" ca="1" si="7"/>
        <v>*</v>
      </c>
      <c r="N28" s="461" t="str">
        <f t="shared" si="8"/>
        <v>*</v>
      </c>
      <c r="O28" s="461" t="str">
        <f t="shared" ca="1" si="9"/>
        <v>*</v>
      </c>
      <c r="P28" s="461" t="str">
        <f t="shared" si="10"/>
        <v>*</v>
      </c>
      <c r="Q28" s="461" t="str">
        <f t="shared" ca="1" si="11"/>
        <v>*</v>
      </c>
      <c r="R28" s="461" t="str">
        <f t="shared" si="12"/>
        <v>*</v>
      </c>
      <c r="S28" s="461" t="str">
        <f t="shared" ca="1" si="13"/>
        <v>*</v>
      </c>
      <c r="T28" s="461" t="str">
        <f t="shared" si="14"/>
        <v>*</v>
      </c>
      <c r="U28" s="462" t="str">
        <f t="shared" ca="1" si="15"/>
        <v>*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7" customFormat="1" ht="20.100000000000001" customHeight="1">
      <c r="A29" s="70">
        <f t="shared" si="2"/>
        <v>16</v>
      </c>
      <c r="B29" s="70"/>
      <c r="C29" s="716" t="str">
        <f>IF((mm1.4=""),"",mm1.4)</f>
        <v/>
      </c>
      <c r="D29" s="717"/>
      <c r="E29" s="717"/>
      <c r="F29" s="94"/>
      <c r="G29" s="455" t="str">
        <f>IF(($C29=""),"*",IF((mm1r.4=""),"*",((mm1r.4*(total.hectares))*((mmix1.count)))))</f>
        <v>*</v>
      </c>
      <c r="H29" s="455" t="str">
        <f t="shared" ca="1" si="3"/>
        <v>*</v>
      </c>
      <c r="I29" s="455" t="str">
        <f ca="1">IF(OR($C29="",$H29=0),"*",(($H29)*mm1r.4))</f>
        <v>*</v>
      </c>
      <c r="J29" s="455" t="str">
        <f t="shared" ca="1" si="4"/>
        <v>*</v>
      </c>
      <c r="K29" s="455" t="str">
        <f t="shared" ca="1" si="5"/>
        <v>*</v>
      </c>
      <c r="L29" s="456" t="str">
        <f t="shared" si="6"/>
        <v>0</v>
      </c>
      <c r="M29" s="455" t="str">
        <f t="shared" ca="1" si="7"/>
        <v>*</v>
      </c>
      <c r="N29" s="461" t="str">
        <f t="shared" si="8"/>
        <v>*</v>
      </c>
      <c r="O29" s="461" t="str">
        <f t="shared" ca="1" si="9"/>
        <v>*</v>
      </c>
      <c r="P29" s="461" t="str">
        <f t="shared" si="10"/>
        <v>*</v>
      </c>
      <c r="Q29" s="461" t="str">
        <f t="shared" ca="1" si="11"/>
        <v>*</v>
      </c>
      <c r="R29" s="461" t="str">
        <f t="shared" si="12"/>
        <v>*</v>
      </c>
      <c r="S29" s="461" t="str">
        <f t="shared" ca="1" si="13"/>
        <v>*</v>
      </c>
      <c r="T29" s="461" t="str">
        <f t="shared" si="14"/>
        <v>*</v>
      </c>
      <c r="U29" s="462" t="str">
        <f t="shared" ca="1" si="15"/>
        <v>*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17" customFormat="1" ht="20.100000000000001" customHeight="1">
      <c r="A30" s="70">
        <f t="shared" si="2"/>
        <v>16</v>
      </c>
      <c r="B30" s="70"/>
      <c r="C30" s="716" t="str">
        <f>IF((mm1.5=""),"",mm1.5)</f>
        <v/>
      </c>
      <c r="D30" s="717"/>
      <c r="E30" s="717"/>
      <c r="F30" s="94"/>
      <c r="G30" s="455" t="str">
        <f>IF(($C30=""),"*",IF((mm1r.5=""),"*",((mm1r.5*(total.hectares))*((mmix1.count)))))</f>
        <v>*</v>
      </c>
      <c r="H30" s="455" t="str">
        <f t="shared" ca="1" si="3"/>
        <v>*</v>
      </c>
      <c r="I30" s="455" t="str">
        <f ca="1">IF(OR($C30="",$H30=0),"*",(($H30)*mm1r.5))</f>
        <v>*</v>
      </c>
      <c r="J30" s="455" t="str">
        <f t="shared" ca="1" si="4"/>
        <v>*</v>
      </c>
      <c r="K30" s="455" t="str">
        <f t="shared" ca="1" si="5"/>
        <v>*</v>
      </c>
      <c r="L30" s="456" t="str">
        <f t="shared" si="6"/>
        <v>0</v>
      </c>
      <c r="M30" s="455" t="str">
        <f t="shared" ca="1" si="7"/>
        <v>*</v>
      </c>
      <c r="N30" s="461" t="str">
        <f t="shared" si="8"/>
        <v>*</v>
      </c>
      <c r="O30" s="461" t="str">
        <f t="shared" ca="1" si="9"/>
        <v>*</v>
      </c>
      <c r="P30" s="461" t="str">
        <f t="shared" si="10"/>
        <v>*</v>
      </c>
      <c r="Q30" s="461" t="str">
        <f t="shared" ca="1" si="11"/>
        <v>*</v>
      </c>
      <c r="R30" s="461" t="str">
        <f t="shared" si="12"/>
        <v>*</v>
      </c>
      <c r="S30" s="461" t="str">
        <f t="shared" ca="1" si="13"/>
        <v>*</v>
      </c>
      <c r="T30" s="461" t="str">
        <f t="shared" si="14"/>
        <v>*</v>
      </c>
      <c r="U30" s="462" t="str">
        <f t="shared" ca="1" si="15"/>
        <v>*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17" customFormat="1" ht="20.100000000000001" customHeight="1" thickBot="1">
      <c r="A31" s="70">
        <f t="shared" si="2"/>
        <v>16</v>
      </c>
      <c r="B31" s="70"/>
      <c r="C31" s="720" t="str">
        <f>IF((mm1.6=""),"",mm1.6)</f>
        <v/>
      </c>
      <c r="D31" s="721"/>
      <c r="E31" s="721"/>
      <c r="F31" s="148"/>
      <c r="G31" s="458" t="str">
        <f>IF(($C31=""),"*",IF((mm1r.6=""),"*",((mm1r.6*(total.hectares))*((mmix1.count)))))</f>
        <v>*</v>
      </c>
      <c r="H31" s="457" t="str">
        <f t="shared" ca="1" si="3"/>
        <v>*</v>
      </c>
      <c r="I31" s="458" t="str">
        <f ca="1">IF(OR($C31="",$H31=0),"*",(($H31)*mm1r.6))</f>
        <v>*</v>
      </c>
      <c r="J31" s="458" t="str">
        <f t="shared" ca="1" si="4"/>
        <v>*</v>
      </c>
      <c r="K31" s="458" t="str">
        <f t="shared" ca="1" si="5"/>
        <v>*</v>
      </c>
      <c r="L31" s="459" t="str">
        <f t="shared" si="6"/>
        <v>0</v>
      </c>
      <c r="M31" s="458" t="str">
        <f t="shared" ca="1" si="7"/>
        <v>*</v>
      </c>
      <c r="N31" s="463" t="str">
        <f t="shared" si="8"/>
        <v>*</v>
      </c>
      <c r="O31" s="463" t="str">
        <f t="shared" ca="1" si="9"/>
        <v>*</v>
      </c>
      <c r="P31" s="463" t="str">
        <f t="shared" si="10"/>
        <v>*</v>
      </c>
      <c r="Q31" s="463" t="str">
        <f t="shared" ca="1" si="11"/>
        <v>*</v>
      </c>
      <c r="R31" s="463" t="str">
        <f t="shared" si="12"/>
        <v>*</v>
      </c>
      <c r="S31" s="463" t="str">
        <f t="shared" ca="1" si="13"/>
        <v>*</v>
      </c>
      <c r="T31" s="463" t="str">
        <f t="shared" si="14"/>
        <v>*</v>
      </c>
      <c r="U31" s="464" t="str">
        <f t="shared" ca="1" si="15"/>
        <v>*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138" customFormat="1" ht="20.100000000000001" customHeight="1" thickTop="1">
      <c r="C32" s="722" t="s">
        <v>123</v>
      </c>
      <c r="D32" s="722"/>
      <c r="E32" s="722"/>
      <c r="F32" s="93"/>
      <c r="G32" s="460" t="str">
        <f t="shared" ref="G32:M32" si="16">IF(SUM(G26:G31)=0,"*",SUM(G26:G31))</f>
        <v>*</v>
      </c>
      <c r="H32" s="460" t="str">
        <f t="shared" ca="1" si="16"/>
        <v>*</v>
      </c>
      <c r="I32" s="460" t="str">
        <f t="shared" ca="1" si="16"/>
        <v>*</v>
      </c>
      <c r="J32" s="460" t="str">
        <f t="shared" ca="1" si="16"/>
        <v>*</v>
      </c>
      <c r="K32" s="460" t="str">
        <f t="shared" ca="1" si="16"/>
        <v>*</v>
      </c>
      <c r="L32" s="460" t="str">
        <f t="shared" si="16"/>
        <v>*</v>
      </c>
      <c r="M32" s="460" t="str">
        <f t="shared" ca="1" si="16"/>
        <v>*</v>
      </c>
      <c r="N32" s="460" t="str">
        <f t="shared" ref="N32:T32" si="17">IF(SUM(N26:N31)=0,"*",SUM(N26:N31))</f>
        <v>*</v>
      </c>
      <c r="O32" s="460" t="str">
        <f ca="1">IF(SUM(O26:O31)=0,"*",SUM(O26:O31))</f>
        <v>*</v>
      </c>
      <c r="P32" s="460" t="str">
        <f t="shared" si="17"/>
        <v>*</v>
      </c>
      <c r="Q32" s="460" t="str">
        <f ca="1">IF(SUM(Q26:Q31)=0,"*",SUM(Q26:Q31))</f>
        <v>*</v>
      </c>
      <c r="R32" s="460" t="str">
        <f t="shared" si="17"/>
        <v>*</v>
      </c>
      <c r="S32" s="460" t="str">
        <f ca="1">IF(SUM(S26:S31)=0,"*",SUM(S26:S31))</f>
        <v>*</v>
      </c>
      <c r="T32" s="460" t="str">
        <f t="shared" si="17"/>
        <v>*</v>
      </c>
      <c r="U32" s="465" t="str">
        <f ca="1">IF(SUM(U26:U31)=0,"*",SUM(U26:U31))</f>
        <v>*</v>
      </c>
      <c r="V32" s="17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186" customFormat="1" ht="9" customHeight="1" thickBo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6"/>
      <c r="W33" s="166"/>
      <c r="X33" s="166"/>
    </row>
    <row r="34" spans="1:32" s="17" customFormat="1" ht="19.5" customHeight="1" thickTop="1">
      <c r="C34" s="687" t="s">
        <v>67</v>
      </c>
      <c r="D34" s="688"/>
      <c r="E34" s="688"/>
      <c r="F34" s="695"/>
      <c r="G34" s="695" t="s">
        <v>252</v>
      </c>
      <c r="H34" s="695" t="s">
        <v>253</v>
      </c>
      <c r="I34" s="695" t="s">
        <v>259</v>
      </c>
      <c r="J34" s="695" t="s">
        <v>86</v>
      </c>
      <c r="K34" s="750" t="s">
        <v>260</v>
      </c>
      <c r="L34" s="679" t="s">
        <v>254</v>
      </c>
      <c r="M34" s="680"/>
      <c r="N34" s="752" t="s">
        <v>255</v>
      </c>
      <c r="O34" s="756"/>
      <c r="P34" s="752" t="s">
        <v>256</v>
      </c>
      <c r="Q34" s="756"/>
      <c r="R34" s="752" t="s">
        <v>257</v>
      </c>
      <c r="S34" s="756"/>
      <c r="T34" s="752" t="s">
        <v>258</v>
      </c>
      <c r="U34" s="753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17" customFormat="1" ht="20.100000000000001" customHeight="1" thickBot="1">
      <c r="C35" s="689"/>
      <c r="D35" s="690"/>
      <c r="E35" s="690"/>
      <c r="F35" s="696"/>
      <c r="G35" s="696"/>
      <c r="H35" s="696"/>
      <c r="I35" s="696"/>
      <c r="J35" s="696"/>
      <c r="K35" s="751"/>
      <c r="L35" s="681"/>
      <c r="M35" s="682"/>
      <c r="N35" s="754"/>
      <c r="O35" s="757"/>
      <c r="P35" s="754"/>
      <c r="Q35" s="757"/>
      <c r="R35" s="754"/>
      <c r="S35" s="757"/>
      <c r="T35" s="754"/>
      <c r="U35" s="75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s="17" customFormat="1" ht="20.100000000000001" customHeight="1">
      <c r="A36" s="70">
        <f t="shared" ref="A36:A41" si="18">IF(($C36=id.255),3,IF(($C36=id.256),4,IF(($C36=id.215),5,IF(($C36=id.200),7,IF(($C36=id.285),10,IF(($C36=id.210),12,IF(($C36=id.106),13,IF(($C36=id.310),14,IF(($C36=id.141),15,IF(($C36=id.360),16,IF(($C36=id.245),17,IF(($C36=id.225),18,IF(($C36=id.192),19,IF(($C36=id.196),20,IF(($C36=id.330),21,IF(($C36=id.675),22,IF(($C36=id.730),23,IF(($C36=id.855),24,IF(($C36=id.180),28,IF(($C36=id.185),29,IF(($C36=id.195),30,IF(($C36=id.240),31,IF(($C36=id.300),32,IF(($C36=id.177),33,IF(($C36=id.860),35,IF(($C36=id.840),36,IF(($C36=id.865),37,IF(($C36=id.800),38,IF(($C36=id.600),41,IF(($C36=id.x1),43,IF(($C36=id.x2),44,"42")))))))))))))))))))))))))))))))</f>
        <v>16</v>
      </c>
      <c r="B36" s="70"/>
      <c r="C36" s="716" t="str">
        <f>IF((mm2.1=""),"",mm2.1)</f>
        <v/>
      </c>
      <c r="D36" s="717"/>
      <c r="E36" s="717"/>
      <c r="F36" s="94"/>
      <c r="G36" s="455" t="str">
        <f>IF(($C26=""),"*",IF((mm2r.1=""),"*",((mm2r.1*(total.hectares))*((mmix2.count)))))</f>
        <v>*</v>
      </c>
      <c r="H36" s="455" t="str">
        <f t="shared" ref="H36:H41" ca="1" si="19">IF(($C36=""),"*",(INDIRECT("'PRODUCT DATA'!$D"&amp;$A36&amp;"")*global.discount))</f>
        <v>*</v>
      </c>
      <c r="I36" s="455" t="str">
        <f ca="1">IF(OR($C36="",$H36=0),"*",(($H36)*mm2r.1))</f>
        <v>*</v>
      </c>
      <c r="J36" s="455" t="str">
        <f t="shared" ref="J36:J41" ca="1" si="20">IF(OR($C36="",$H36=0),"*",($H36*$G36/mmix2.count))</f>
        <v>*</v>
      </c>
      <c r="K36" s="455" t="str">
        <f t="shared" ref="K36:K41" ca="1" si="21">IF(OR($C36="",$H36=0),"*",($H36*$G36))</f>
        <v>*</v>
      </c>
      <c r="L36" s="456" t="str">
        <f t="shared" ref="L36:L41" si="22">IF(($C36=""),"0",(ROUNDUP(($G36/20),0)))</f>
        <v>0</v>
      </c>
      <c r="M36" s="455" t="str">
        <f t="shared" ref="M36:M41" ca="1" si="23">IF(OR($C36="",$H36=0),"*",$H36*($L36*20))</f>
        <v>*</v>
      </c>
      <c r="N36" s="461" t="str">
        <f t="shared" ref="N36:N41" si="24">IF(($L36*20)&lt;60,"*",($G36/60))</f>
        <v>*</v>
      </c>
      <c r="O36" s="461" t="str">
        <f t="shared" ref="O36:O41" ca="1" si="25">IF(OR($N36="*",$H36=0),"*",($H36-$R$17)*($N36*60))</f>
        <v>*</v>
      </c>
      <c r="P36" s="461" t="str">
        <f t="shared" ref="P36:P41" si="26">IF(($L36*20)&lt;120,"*",($G36/120))</f>
        <v>*</v>
      </c>
      <c r="Q36" s="461" t="str">
        <f t="shared" ref="Q36:Q41" ca="1" si="27">IF(OR($P36="*",$H36=0),"*",($H36-$R$18)*($P36*120))</f>
        <v>*</v>
      </c>
      <c r="R36" s="461" t="str">
        <f t="shared" ref="R36:R41" si="28">IF(($L36*20)&lt;220,"*",($G36/220))</f>
        <v>*</v>
      </c>
      <c r="S36" s="461" t="str">
        <f t="shared" ref="S36:S41" ca="1" si="29">IF(OR($R36="*",$H36=0),"*",($H36-$R$19)*($R36*220))</f>
        <v>*</v>
      </c>
      <c r="T36" s="461" t="str">
        <f t="shared" ref="T36:T41" si="30">IF(($L36*20)&lt;1080,"*",($G36/1080))</f>
        <v>*</v>
      </c>
      <c r="U36" s="462" t="str">
        <f t="shared" ref="U36:U41" ca="1" si="31">IF(OR($T36="*",$H36=0),"*",($H36-$R$20)*($T36*1080))</f>
        <v>*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s="17" customFormat="1" ht="20.100000000000001" customHeight="1">
      <c r="A37" s="70">
        <f t="shared" si="18"/>
        <v>16</v>
      </c>
      <c r="B37" s="70"/>
      <c r="C37" s="716" t="str">
        <f>IF((mm2.2=""),"",mm2.2)</f>
        <v/>
      </c>
      <c r="D37" s="717"/>
      <c r="E37" s="717"/>
      <c r="F37" s="94"/>
      <c r="G37" s="455" t="str">
        <f>IF(($C27=""),"*",IF((mm2r.2=""),"*",((mm2r.2*(total.hectares))*((mmix2.count)))))</f>
        <v>*</v>
      </c>
      <c r="H37" s="455" t="str">
        <f t="shared" ca="1" si="19"/>
        <v>*</v>
      </c>
      <c r="I37" s="455" t="str">
        <f ca="1">IF(OR($C37="",$H37=0),"*",(($H37)*mm2r.2))</f>
        <v>*</v>
      </c>
      <c r="J37" s="455" t="str">
        <f t="shared" ca="1" si="20"/>
        <v>*</v>
      </c>
      <c r="K37" s="455" t="str">
        <f t="shared" ca="1" si="21"/>
        <v>*</v>
      </c>
      <c r="L37" s="456" t="str">
        <f t="shared" si="22"/>
        <v>0</v>
      </c>
      <c r="M37" s="455" t="str">
        <f t="shared" ca="1" si="23"/>
        <v>*</v>
      </c>
      <c r="N37" s="461" t="str">
        <f t="shared" si="24"/>
        <v>*</v>
      </c>
      <c r="O37" s="461" t="str">
        <f t="shared" ca="1" si="25"/>
        <v>*</v>
      </c>
      <c r="P37" s="461" t="str">
        <f t="shared" si="26"/>
        <v>*</v>
      </c>
      <c r="Q37" s="461" t="str">
        <f t="shared" ca="1" si="27"/>
        <v>*</v>
      </c>
      <c r="R37" s="461" t="str">
        <f t="shared" si="28"/>
        <v>*</v>
      </c>
      <c r="S37" s="461" t="str">
        <f t="shared" ca="1" si="29"/>
        <v>*</v>
      </c>
      <c r="T37" s="461" t="str">
        <f t="shared" si="30"/>
        <v>*</v>
      </c>
      <c r="U37" s="462" t="str">
        <f t="shared" ca="1" si="31"/>
        <v>*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s="17" customFormat="1" ht="20.100000000000001" customHeight="1">
      <c r="A38" s="70">
        <f t="shared" si="18"/>
        <v>16</v>
      </c>
      <c r="B38" s="70"/>
      <c r="C38" s="716" t="str">
        <f>IF((mm2.3=""),"",mm2.3)</f>
        <v/>
      </c>
      <c r="D38" s="717"/>
      <c r="E38" s="717"/>
      <c r="F38" s="94"/>
      <c r="G38" s="455" t="str">
        <f>IF(($C28=""),"*",IF((mm2r.3=""),"*",((mm2r.3*(total.hectares))*((mmix2.count)))))</f>
        <v>*</v>
      </c>
      <c r="H38" s="455" t="str">
        <f t="shared" ca="1" si="19"/>
        <v>*</v>
      </c>
      <c r="I38" s="455" t="str">
        <f ca="1">IF(OR($C38="",$H38=0),"*",(($H38)*mm2r.3))</f>
        <v>*</v>
      </c>
      <c r="J38" s="455" t="str">
        <f t="shared" ca="1" si="20"/>
        <v>*</v>
      </c>
      <c r="K38" s="455" t="str">
        <f t="shared" ca="1" si="21"/>
        <v>*</v>
      </c>
      <c r="L38" s="456" t="str">
        <f t="shared" si="22"/>
        <v>0</v>
      </c>
      <c r="M38" s="455" t="str">
        <f t="shared" ca="1" si="23"/>
        <v>*</v>
      </c>
      <c r="N38" s="461" t="str">
        <f t="shared" si="24"/>
        <v>*</v>
      </c>
      <c r="O38" s="461" t="str">
        <f t="shared" ca="1" si="25"/>
        <v>*</v>
      </c>
      <c r="P38" s="461" t="str">
        <f t="shared" si="26"/>
        <v>*</v>
      </c>
      <c r="Q38" s="461" t="str">
        <f t="shared" ca="1" si="27"/>
        <v>*</v>
      </c>
      <c r="R38" s="461" t="str">
        <f t="shared" si="28"/>
        <v>*</v>
      </c>
      <c r="S38" s="461" t="str">
        <f t="shared" ca="1" si="29"/>
        <v>*</v>
      </c>
      <c r="T38" s="461" t="str">
        <f t="shared" si="30"/>
        <v>*</v>
      </c>
      <c r="U38" s="462" t="str">
        <f t="shared" ca="1" si="31"/>
        <v>*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s="17" customFormat="1" ht="20.100000000000001" customHeight="1">
      <c r="A39" s="70">
        <f t="shared" si="18"/>
        <v>16</v>
      </c>
      <c r="B39" s="70"/>
      <c r="C39" s="716" t="str">
        <f>IF((mm2.4=""),"",mm2.4)</f>
        <v/>
      </c>
      <c r="D39" s="717"/>
      <c r="E39" s="717"/>
      <c r="F39" s="94"/>
      <c r="G39" s="455" t="str">
        <f>IF(($C29=""),"*",IF((mm2r.4=""),"*",((mm2r.4*(total.hectares))*((mmix2.count)))))</f>
        <v>*</v>
      </c>
      <c r="H39" s="455" t="str">
        <f t="shared" ca="1" si="19"/>
        <v>*</v>
      </c>
      <c r="I39" s="455" t="str">
        <f ca="1">IF(OR($C39="",$H39=0),"*",(($H39)*mm2r.4))</f>
        <v>*</v>
      </c>
      <c r="J39" s="455" t="str">
        <f t="shared" ca="1" si="20"/>
        <v>*</v>
      </c>
      <c r="K39" s="455" t="str">
        <f t="shared" ca="1" si="21"/>
        <v>*</v>
      </c>
      <c r="L39" s="456" t="str">
        <f t="shared" si="22"/>
        <v>0</v>
      </c>
      <c r="M39" s="455" t="str">
        <f t="shared" ca="1" si="23"/>
        <v>*</v>
      </c>
      <c r="N39" s="461" t="str">
        <f t="shared" si="24"/>
        <v>*</v>
      </c>
      <c r="O39" s="461" t="str">
        <f t="shared" ca="1" si="25"/>
        <v>*</v>
      </c>
      <c r="P39" s="461" t="str">
        <f t="shared" si="26"/>
        <v>*</v>
      </c>
      <c r="Q39" s="461" t="str">
        <f t="shared" ca="1" si="27"/>
        <v>*</v>
      </c>
      <c r="R39" s="461" t="str">
        <f t="shared" si="28"/>
        <v>*</v>
      </c>
      <c r="S39" s="461" t="str">
        <f t="shared" ca="1" si="29"/>
        <v>*</v>
      </c>
      <c r="T39" s="461" t="str">
        <f t="shared" si="30"/>
        <v>*</v>
      </c>
      <c r="U39" s="462" t="str">
        <f t="shared" ca="1" si="31"/>
        <v>*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17" customFormat="1" ht="20.100000000000001" customHeight="1">
      <c r="A40" s="70">
        <f t="shared" si="18"/>
        <v>16</v>
      </c>
      <c r="B40" s="70"/>
      <c r="C40" s="716" t="str">
        <f>IF((mm2.5=""),"",mm2.5)</f>
        <v/>
      </c>
      <c r="D40" s="717"/>
      <c r="E40" s="717"/>
      <c r="F40" s="94"/>
      <c r="G40" s="455" t="str">
        <f>IF(($C30=""),"*",IF((mm2r.5=""),"*",((mm2r.5*(total.hectares))*((mmix2.count)))))</f>
        <v>*</v>
      </c>
      <c r="H40" s="455" t="str">
        <f t="shared" ca="1" si="19"/>
        <v>*</v>
      </c>
      <c r="I40" s="455" t="str">
        <f ca="1">IF(OR($C40="",$H40=0),"*",(($H40)*mm2r.5))</f>
        <v>*</v>
      </c>
      <c r="J40" s="455" t="str">
        <f t="shared" ca="1" si="20"/>
        <v>*</v>
      </c>
      <c r="K40" s="455" t="str">
        <f t="shared" ca="1" si="21"/>
        <v>*</v>
      </c>
      <c r="L40" s="456" t="str">
        <f t="shared" si="22"/>
        <v>0</v>
      </c>
      <c r="M40" s="455" t="str">
        <f t="shared" ca="1" si="23"/>
        <v>*</v>
      </c>
      <c r="N40" s="461" t="str">
        <f t="shared" si="24"/>
        <v>*</v>
      </c>
      <c r="O40" s="461" t="str">
        <f t="shared" ca="1" si="25"/>
        <v>*</v>
      </c>
      <c r="P40" s="461" t="str">
        <f t="shared" si="26"/>
        <v>*</v>
      </c>
      <c r="Q40" s="461" t="str">
        <f t="shared" ca="1" si="27"/>
        <v>*</v>
      </c>
      <c r="R40" s="461" t="str">
        <f t="shared" si="28"/>
        <v>*</v>
      </c>
      <c r="S40" s="461" t="str">
        <f t="shared" ca="1" si="29"/>
        <v>*</v>
      </c>
      <c r="T40" s="461" t="str">
        <f t="shared" si="30"/>
        <v>*</v>
      </c>
      <c r="U40" s="462" t="str">
        <f t="shared" ca="1" si="31"/>
        <v>*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s="17" customFormat="1" ht="20.100000000000001" customHeight="1" thickBot="1">
      <c r="A41" s="70">
        <f t="shared" si="18"/>
        <v>16</v>
      </c>
      <c r="B41" s="70"/>
      <c r="C41" s="720" t="str">
        <f>IF((mm2.6=""),"",mm2.6)</f>
        <v/>
      </c>
      <c r="D41" s="721"/>
      <c r="E41" s="721"/>
      <c r="F41" s="148"/>
      <c r="G41" s="458" t="str">
        <f>IF(($C31=""),"*",IF((mm2r.6=""),"*",((mm2r.6*(total.hectares))*((mmix2.count)))))</f>
        <v>*</v>
      </c>
      <c r="H41" s="457" t="str">
        <f t="shared" ca="1" si="19"/>
        <v>*</v>
      </c>
      <c r="I41" s="458" t="str">
        <f ca="1">IF(OR($C41="",$H41=0),"*",(($H41)*mm2r.6))</f>
        <v>*</v>
      </c>
      <c r="J41" s="458" t="str">
        <f t="shared" ca="1" si="20"/>
        <v>*</v>
      </c>
      <c r="K41" s="458" t="str">
        <f t="shared" ca="1" si="21"/>
        <v>*</v>
      </c>
      <c r="L41" s="459" t="str">
        <f t="shared" si="22"/>
        <v>0</v>
      </c>
      <c r="M41" s="458" t="str">
        <f t="shared" ca="1" si="23"/>
        <v>*</v>
      </c>
      <c r="N41" s="463" t="str">
        <f t="shared" si="24"/>
        <v>*</v>
      </c>
      <c r="O41" s="463" t="str">
        <f t="shared" ca="1" si="25"/>
        <v>*</v>
      </c>
      <c r="P41" s="463" t="str">
        <f t="shared" si="26"/>
        <v>*</v>
      </c>
      <c r="Q41" s="463" t="str">
        <f t="shared" ca="1" si="27"/>
        <v>*</v>
      </c>
      <c r="R41" s="463" t="str">
        <f t="shared" si="28"/>
        <v>*</v>
      </c>
      <c r="S41" s="463" t="str">
        <f t="shared" ca="1" si="29"/>
        <v>*</v>
      </c>
      <c r="T41" s="463" t="str">
        <f t="shared" si="30"/>
        <v>*</v>
      </c>
      <c r="U41" s="464" t="str">
        <f t="shared" ca="1" si="31"/>
        <v>*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138" customFormat="1" ht="20.100000000000001" customHeight="1" thickTop="1">
      <c r="C42" s="722" t="s">
        <v>94</v>
      </c>
      <c r="D42" s="722"/>
      <c r="E42" s="722"/>
      <c r="F42" s="93"/>
      <c r="G42" s="460" t="str">
        <f t="shared" ref="G42:U42" si="32">IF(SUM(G36:G41)=0,"*",SUM(G36:G41))</f>
        <v>*</v>
      </c>
      <c r="H42" s="460" t="str">
        <f t="shared" ca="1" si="32"/>
        <v>*</v>
      </c>
      <c r="I42" s="460" t="str">
        <f t="shared" ca="1" si="32"/>
        <v>*</v>
      </c>
      <c r="J42" s="460" t="str">
        <f t="shared" ca="1" si="32"/>
        <v>*</v>
      </c>
      <c r="K42" s="460" t="str">
        <f t="shared" ca="1" si="32"/>
        <v>*</v>
      </c>
      <c r="L42" s="460" t="str">
        <f t="shared" si="32"/>
        <v>*</v>
      </c>
      <c r="M42" s="460" t="str">
        <f t="shared" ca="1" si="32"/>
        <v>*</v>
      </c>
      <c r="N42" s="460" t="str">
        <f t="shared" si="32"/>
        <v>*</v>
      </c>
      <c r="O42" s="460" t="str">
        <f t="shared" ca="1" si="32"/>
        <v>*</v>
      </c>
      <c r="P42" s="460" t="str">
        <f t="shared" si="32"/>
        <v>*</v>
      </c>
      <c r="Q42" s="460" t="str">
        <f t="shared" ca="1" si="32"/>
        <v>*</v>
      </c>
      <c r="R42" s="460" t="str">
        <f t="shared" si="32"/>
        <v>*</v>
      </c>
      <c r="S42" s="460" t="str">
        <f t="shared" ca="1" si="32"/>
        <v>*</v>
      </c>
      <c r="T42" s="460" t="str">
        <f t="shared" si="32"/>
        <v>*</v>
      </c>
      <c r="U42" s="465" t="str">
        <f t="shared" ca="1" si="32"/>
        <v>*</v>
      </c>
      <c r="V42" s="17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186" customFormat="1" ht="8.25" customHeight="1" thickBo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66"/>
      <c r="W43" s="166"/>
      <c r="X43" s="166"/>
    </row>
    <row r="44" spans="1:32" s="17" customFormat="1" ht="19.5" customHeight="1" thickTop="1">
      <c r="C44" s="687" t="s">
        <v>101</v>
      </c>
      <c r="D44" s="688"/>
      <c r="E44" s="688"/>
      <c r="F44" s="695"/>
      <c r="G44" s="695" t="s">
        <v>252</v>
      </c>
      <c r="H44" s="695" t="s">
        <v>253</v>
      </c>
      <c r="I44" s="695" t="s">
        <v>259</v>
      </c>
      <c r="J44" s="695" t="s">
        <v>86</v>
      </c>
      <c r="K44" s="750" t="s">
        <v>260</v>
      </c>
      <c r="L44" s="679" t="s">
        <v>254</v>
      </c>
      <c r="M44" s="680"/>
      <c r="N44" s="752" t="s">
        <v>255</v>
      </c>
      <c r="O44" s="756"/>
      <c r="P44" s="752" t="s">
        <v>256</v>
      </c>
      <c r="Q44" s="756"/>
      <c r="R44" s="752" t="s">
        <v>257</v>
      </c>
      <c r="S44" s="756"/>
      <c r="T44" s="752" t="s">
        <v>258</v>
      </c>
      <c r="U44" s="753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s="17" customFormat="1" ht="20.100000000000001" customHeight="1" thickBot="1">
      <c r="C45" s="689"/>
      <c r="D45" s="690"/>
      <c r="E45" s="690"/>
      <c r="F45" s="696"/>
      <c r="G45" s="696"/>
      <c r="H45" s="696"/>
      <c r="I45" s="696"/>
      <c r="J45" s="696"/>
      <c r="K45" s="751"/>
      <c r="L45" s="681"/>
      <c r="M45" s="682"/>
      <c r="N45" s="754"/>
      <c r="O45" s="757"/>
      <c r="P45" s="754"/>
      <c r="Q45" s="757"/>
      <c r="R45" s="754"/>
      <c r="S45" s="757"/>
      <c r="T45" s="754"/>
      <c r="U45" s="75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s="17" customFormat="1" ht="20.100000000000001" customHeight="1">
      <c r="A46" s="70">
        <f t="shared" ref="A46:A51" si="33">IF(($C46=id.255),3,IF(($C46=id.256),4,IF(($C46=id.215),5,IF(($C46=id.200),7,IF(($C46=id.285),10,IF(($C46=id.210),12,IF(($C46=id.106),13,IF(($C46=id.310),14,IF(($C46=id.141),15,IF(($C46=id.360),16,IF(($C46=id.245),17,IF(($C46=id.225),18,IF(($C46=id.192),19,IF(($C46=id.196),20,IF(($C46=id.330),21,IF(($C46=id.675),22,IF(($C46=id.730),23,IF(($C46=id.855),24,IF(($C46=id.180),28,IF(($C46=id.185),29,IF(($C46=id.195),30,IF(($C46=id.240),31,IF(($C46=id.300),32,IF(($C46=id.177),33,IF(($C46=id.860),35,IF(($C46=id.840),36,IF(($C46=id.865),37,IF(($C46=id.800),38,IF(($C46=id.600),41,IF(($C46=id.x1),43,IF(($C46=id.x2),44,"42")))))))))))))))))))))))))))))))</f>
        <v>16</v>
      </c>
      <c r="B46" s="70"/>
      <c r="C46" s="716" t="str">
        <f>IF((mm3.1=""),"",mm3.1)</f>
        <v/>
      </c>
      <c r="D46" s="717"/>
      <c r="E46" s="717"/>
      <c r="F46" s="94"/>
      <c r="G46" s="455" t="str">
        <f>IF(($C26=""),"*",IF((mm3r.1=""),"*",((mm3r.1*(total.hectares))*((mmix3.count)))))</f>
        <v>*</v>
      </c>
      <c r="H46" s="455" t="str">
        <f t="shared" ref="H46:H51" ca="1" si="34">IF(($C46=""),"*",(INDIRECT("'PRODUCT DATA'!$D"&amp;$A46&amp;"")*global.discount))</f>
        <v>*</v>
      </c>
      <c r="I46" s="455" t="str">
        <f t="shared" ref="I46:I51" ca="1" si="35">IF(OR($C46="",$H46=0),"*",(($H46)*mm3r.1))</f>
        <v>*</v>
      </c>
      <c r="J46" s="455" t="str">
        <f t="shared" ref="J46:J51" ca="1" si="36">IF(OR($C46="",$H46=0),"*",($H46*$G46/mmix3.count))</f>
        <v>*</v>
      </c>
      <c r="K46" s="455" t="str">
        <f t="shared" ref="K46:K51" ca="1" si="37">IF(OR($C46="",$H46=0),"*",($H46*$G46))</f>
        <v>*</v>
      </c>
      <c r="L46" s="456" t="str">
        <f t="shared" ref="L46:L51" si="38">IF(($C46=""),"0",(ROUNDUP(($G46/20),0)))</f>
        <v>0</v>
      </c>
      <c r="M46" s="455" t="str">
        <f t="shared" ref="M46:M51" ca="1" si="39">IF(OR($C46="",$H46=0),"*",$H46*($L46*20))</f>
        <v>*</v>
      </c>
      <c r="N46" s="461" t="str">
        <f t="shared" ref="N46:N51" si="40">IF(($L46*20)&lt;60,"*",($G46/60))</f>
        <v>*</v>
      </c>
      <c r="O46" s="461" t="str">
        <f t="shared" ref="O46:O51" ca="1" si="41">IF(OR($N46="*",$H46=0),"*",($H46-$R$17)*($N46*60))</f>
        <v>*</v>
      </c>
      <c r="P46" s="461" t="str">
        <f t="shared" ref="P46:P51" si="42">IF(($L46*20)&lt;120,"*",($G46/120))</f>
        <v>*</v>
      </c>
      <c r="Q46" s="461" t="str">
        <f t="shared" ref="Q46:Q51" ca="1" si="43">IF(OR($P46="*",$H46=0),"*",($H46-$R$18)*($P46*120))</f>
        <v>*</v>
      </c>
      <c r="R46" s="461" t="str">
        <f t="shared" ref="R46:R51" si="44">IF(($L46*20)&lt;220,"*",($G46/220))</f>
        <v>*</v>
      </c>
      <c r="S46" s="461" t="str">
        <f t="shared" ref="S46:S51" ca="1" si="45">IF(OR($R46="*",$H46=0),"*",($H46-$R$19)*($R46*220))</f>
        <v>*</v>
      </c>
      <c r="T46" s="461" t="str">
        <f t="shared" ref="T46:T51" si="46">IF(($L46*20)&lt;1080,"*",($G46/1080))</f>
        <v>*</v>
      </c>
      <c r="U46" s="462" t="str">
        <f t="shared" ref="U46:U51" ca="1" si="47">IF(OR($T46="*",$H46=0),"*",($H46-$R$20)*($T46*1080))</f>
        <v>*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s="17" customFormat="1" ht="20.100000000000001" customHeight="1">
      <c r="A47" s="70">
        <f t="shared" si="33"/>
        <v>16</v>
      </c>
      <c r="B47" s="70"/>
      <c r="C47" s="716" t="str">
        <f>IF((mm3.2=""),"",mm3.2)</f>
        <v/>
      </c>
      <c r="D47" s="717"/>
      <c r="E47" s="717"/>
      <c r="F47" s="94"/>
      <c r="G47" s="455" t="str">
        <f>IF(($C27=""),"*",IF((mm3r.2=""),"*",((mm3r.2*(total.hectares))*((mmix3.count)))))</f>
        <v>*</v>
      </c>
      <c r="H47" s="455" t="str">
        <f t="shared" ca="1" si="34"/>
        <v>*</v>
      </c>
      <c r="I47" s="455" t="str">
        <f t="shared" ca="1" si="35"/>
        <v>*</v>
      </c>
      <c r="J47" s="455" t="str">
        <f t="shared" ca="1" si="36"/>
        <v>*</v>
      </c>
      <c r="K47" s="455" t="str">
        <f t="shared" ca="1" si="37"/>
        <v>*</v>
      </c>
      <c r="L47" s="456" t="str">
        <f t="shared" si="38"/>
        <v>0</v>
      </c>
      <c r="M47" s="455" t="str">
        <f t="shared" ca="1" si="39"/>
        <v>*</v>
      </c>
      <c r="N47" s="461" t="str">
        <f t="shared" si="40"/>
        <v>*</v>
      </c>
      <c r="O47" s="461" t="str">
        <f t="shared" ca="1" si="41"/>
        <v>*</v>
      </c>
      <c r="P47" s="461" t="str">
        <f t="shared" si="42"/>
        <v>*</v>
      </c>
      <c r="Q47" s="461" t="str">
        <f t="shared" ca="1" si="43"/>
        <v>*</v>
      </c>
      <c r="R47" s="461" t="str">
        <f t="shared" si="44"/>
        <v>*</v>
      </c>
      <c r="S47" s="461" t="str">
        <f t="shared" ca="1" si="45"/>
        <v>*</v>
      </c>
      <c r="T47" s="461" t="str">
        <f t="shared" si="46"/>
        <v>*</v>
      </c>
      <c r="U47" s="462" t="str">
        <f t="shared" ca="1" si="47"/>
        <v>*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s="17" customFormat="1" ht="20.100000000000001" customHeight="1">
      <c r="A48" s="70">
        <f t="shared" si="33"/>
        <v>16</v>
      </c>
      <c r="B48" s="70"/>
      <c r="C48" s="716" t="str">
        <f>IF((mm3.3=""),"",mm3.3)</f>
        <v/>
      </c>
      <c r="D48" s="717"/>
      <c r="E48" s="717"/>
      <c r="F48" s="94"/>
      <c r="G48" s="455" t="str">
        <f>IF(($C28=""),"*",IF((mm3r.3=""),"*",((mm3r.3*(total.hectares))*((mmix3.count)))))</f>
        <v>*</v>
      </c>
      <c r="H48" s="455" t="str">
        <f t="shared" ca="1" si="34"/>
        <v>*</v>
      </c>
      <c r="I48" s="455" t="str">
        <f t="shared" ca="1" si="35"/>
        <v>*</v>
      </c>
      <c r="J48" s="455" t="str">
        <f t="shared" ca="1" si="36"/>
        <v>*</v>
      </c>
      <c r="K48" s="455" t="str">
        <f t="shared" ca="1" si="37"/>
        <v>*</v>
      </c>
      <c r="L48" s="456" t="str">
        <f t="shared" si="38"/>
        <v>0</v>
      </c>
      <c r="M48" s="455" t="str">
        <f t="shared" ca="1" si="39"/>
        <v>*</v>
      </c>
      <c r="N48" s="461" t="str">
        <f t="shared" si="40"/>
        <v>*</v>
      </c>
      <c r="O48" s="461" t="str">
        <f t="shared" ca="1" si="41"/>
        <v>*</v>
      </c>
      <c r="P48" s="461" t="str">
        <f t="shared" si="42"/>
        <v>*</v>
      </c>
      <c r="Q48" s="461" t="str">
        <f t="shared" ca="1" si="43"/>
        <v>*</v>
      </c>
      <c r="R48" s="461" t="str">
        <f t="shared" si="44"/>
        <v>*</v>
      </c>
      <c r="S48" s="461" t="str">
        <f t="shared" ca="1" si="45"/>
        <v>*</v>
      </c>
      <c r="T48" s="461" t="str">
        <f t="shared" si="46"/>
        <v>*</v>
      </c>
      <c r="U48" s="462" t="str">
        <f t="shared" ca="1" si="47"/>
        <v>*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s="17" customFormat="1" ht="20.100000000000001" customHeight="1">
      <c r="A49" s="70">
        <f t="shared" si="33"/>
        <v>16</v>
      </c>
      <c r="B49" s="70"/>
      <c r="C49" s="716" t="str">
        <f>IF((mm3.4=""),"",mm3.4)</f>
        <v/>
      </c>
      <c r="D49" s="717"/>
      <c r="E49" s="717"/>
      <c r="F49" s="94"/>
      <c r="G49" s="455" t="str">
        <f>IF(($C29=""),"*",IF((mm3r.4=""),"*",((mm3r.4*(total.hectares))*((mmix3.count)))))</f>
        <v>*</v>
      </c>
      <c r="H49" s="455" t="str">
        <f t="shared" ca="1" si="34"/>
        <v>*</v>
      </c>
      <c r="I49" s="455" t="str">
        <f t="shared" ca="1" si="35"/>
        <v>*</v>
      </c>
      <c r="J49" s="455" t="str">
        <f t="shared" ca="1" si="36"/>
        <v>*</v>
      </c>
      <c r="K49" s="455" t="str">
        <f t="shared" ca="1" si="37"/>
        <v>*</v>
      </c>
      <c r="L49" s="456" t="str">
        <f t="shared" si="38"/>
        <v>0</v>
      </c>
      <c r="M49" s="455" t="str">
        <f t="shared" ca="1" si="39"/>
        <v>*</v>
      </c>
      <c r="N49" s="461" t="str">
        <f t="shared" si="40"/>
        <v>*</v>
      </c>
      <c r="O49" s="461" t="str">
        <f t="shared" ca="1" si="41"/>
        <v>*</v>
      </c>
      <c r="P49" s="461" t="str">
        <f t="shared" si="42"/>
        <v>*</v>
      </c>
      <c r="Q49" s="461" t="str">
        <f t="shared" ca="1" si="43"/>
        <v>*</v>
      </c>
      <c r="R49" s="461" t="str">
        <f t="shared" si="44"/>
        <v>*</v>
      </c>
      <c r="S49" s="461" t="str">
        <f t="shared" ca="1" si="45"/>
        <v>*</v>
      </c>
      <c r="T49" s="461" t="str">
        <f t="shared" si="46"/>
        <v>*</v>
      </c>
      <c r="U49" s="462" t="str">
        <f t="shared" ca="1" si="47"/>
        <v>*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s="17" customFormat="1" ht="20.100000000000001" customHeight="1">
      <c r="A50" s="70">
        <f t="shared" si="33"/>
        <v>16</v>
      </c>
      <c r="B50" s="70"/>
      <c r="C50" s="716" t="str">
        <f>IF((mm3.5=""),"",mm3.5)</f>
        <v/>
      </c>
      <c r="D50" s="717"/>
      <c r="E50" s="717"/>
      <c r="F50" s="94"/>
      <c r="G50" s="455" t="str">
        <f>IF(($C30=""),"*",IF((mm3r.5=""),"*",((mm3r.5*(total.hectares))*((mmix3.count)))))</f>
        <v>*</v>
      </c>
      <c r="H50" s="455" t="str">
        <f t="shared" ca="1" si="34"/>
        <v>*</v>
      </c>
      <c r="I50" s="455" t="str">
        <f t="shared" ca="1" si="35"/>
        <v>*</v>
      </c>
      <c r="J50" s="455" t="str">
        <f t="shared" ca="1" si="36"/>
        <v>*</v>
      </c>
      <c r="K50" s="455" t="str">
        <f t="shared" ca="1" si="37"/>
        <v>*</v>
      </c>
      <c r="L50" s="456" t="str">
        <f t="shared" si="38"/>
        <v>0</v>
      </c>
      <c r="M50" s="455" t="str">
        <f t="shared" ca="1" si="39"/>
        <v>*</v>
      </c>
      <c r="N50" s="461" t="str">
        <f t="shared" si="40"/>
        <v>*</v>
      </c>
      <c r="O50" s="461" t="str">
        <f t="shared" ca="1" si="41"/>
        <v>*</v>
      </c>
      <c r="P50" s="461" t="str">
        <f t="shared" si="42"/>
        <v>*</v>
      </c>
      <c r="Q50" s="461" t="str">
        <f t="shared" ca="1" si="43"/>
        <v>*</v>
      </c>
      <c r="R50" s="461" t="str">
        <f t="shared" si="44"/>
        <v>*</v>
      </c>
      <c r="S50" s="461" t="str">
        <f t="shared" ca="1" si="45"/>
        <v>*</v>
      </c>
      <c r="T50" s="461" t="str">
        <f t="shared" si="46"/>
        <v>*</v>
      </c>
      <c r="U50" s="462" t="str">
        <f t="shared" ca="1" si="47"/>
        <v>*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s="17" customFormat="1" ht="20.100000000000001" customHeight="1" thickBot="1">
      <c r="A51" s="70">
        <f t="shared" si="33"/>
        <v>16</v>
      </c>
      <c r="B51" s="70"/>
      <c r="C51" s="720" t="str">
        <f>IF((mm3.6=""),"",mm3.6)</f>
        <v/>
      </c>
      <c r="D51" s="721"/>
      <c r="E51" s="721"/>
      <c r="F51" s="148"/>
      <c r="G51" s="458" t="str">
        <f>IF(($C31=""),"*",IF((mm3r.6=""),"*",((mm3r.6*(total.hectares))*((mmix3.count)))))</f>
        <v>*</v>
      </c>
      <c r="H51" s="457" t="str">
        <f t="shared" ca="1" si="34"/>
        <v>*</v>
      </c>
      <c r="I51" s="458" t="str">
        <f t="shared" ca="1" si="35"/>
        <v>*</v>
      </c>
      <c r="J51" s="458" t="str">
        <f t="shared" ca="1" si="36"/>
        <v>*</v>
      </c>
      <c r="K51" s="458" t="str">
        <f t="shared" ca="1" si="37"/>
        <v>*</v>
      </c>
      <c r="L51" s="459" t="str">
        <f t="shared" si="38"/>
        <v>0</v>
      </c>
      <c r="M51" s="458" t="str">
        <f t="shared" ca="1" si="39"/>
        <v>*</v>
      </c>
      <c r="N51" s="463" t="str">
        <f t="shared" si="40"/>
        <v>*</v>
      </c>
      <c r="O51" s="463" t="str">
        <f t="shared" ca="1" si="41"/>
        <v>*</v>
      </c>
      <c r="P51" s="463" t="str">
        <f t="shared" si="42"/>
        <v>*</v>
      </c>
      <c r="Q51" s="463" t="str">
        <f t="shared" ca="1" si="43"/>
        <v>*</v>
      </c>
      <c r="R51" s="463" t="str">
        <f t="shared" si="44"/>
        <v>*</v>
      </c>
      <c r="S51" s="463" t="str">
        <f t="shared" ca="1" si="45"/>
        <v>*</v>
      </c>
      <c r="T51" s="463" t="str">
        <f t="shared" si="46"/>
        <v>*</v>
      </c>
      <c r="U51" s="464" t="str">
        <f t="shared" ca="1" si="47"/>
        <v>*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s="138" customFormat="1" ht="20.100000000000001" customHeight="1" thickTop="1">
      <c r="C52" s="722" t="s">
        <v>94</v>
      </c>
      <c r="D52" s="722"/>
      <c r="E52" s="722"/>
      <c r="F52" s="93"/>
      <c r="G52" s="460" t="str">
        <f t="shared" ref="G52:U52" si="48">IF(SUM(G46:G51)=0,"*",SUM(G46:G51))</f>
        <v>*</v>
      </c>
      <c r="H52" s="460" t="str">
        <f t="shared" ca="1" si="48"/>
        <v>*</v>
      </c>
      <c r="I52" s="460" t="str">
        <f t="shared" ca="1" si="48"/>
        <v>*</v>
      </c>
      <c r="J52" s="460" t="str">
        <f t="shared" ca="1" si="48"/>
        <v>*</v>
      </c>
      <c r="K52" s="460" t="str">
        <f t="shared" ca="1" si="48"/>
        <v>*</v>
      </c>
      <c r="L52" s="460" t="str">
        <f t="shared" si="48"/>
        <v>*</v>
      </c>
      <c r="M52" s="460" t="str">
        <f t="shared" ca="1" si="48"/>
        <v>*</v>
      </c>
      <c r="N52" s="460" t="str">
        <f t="shared" si="48"/>
        <v>*</v>
      </c>
      <c r="O52" s="460" t="str">
        <f t="shared" ca="1" si="48"/>
        <v>*</v>
      </c>
      <c r="P52" s="460" t="str">
        <f t="shared" si="48"/>
        <v>*</v>
      </c>
      <c r="Q52" s="460" t="str">
        <f t="shared" ca="1" si="48"/>
        <v>*</v>
      </c>
      <c r="R52" s="460" t="str">
        <f t="shared" si="48"/>
        <v>*</v>
      </c>
      <c r="S52" s="460" t="str">
        <f t="shared" ca="1" si="48"/>
        <v>*</v>
      </c>
      <c r="T52" s="460" t="str">
        <f t="shared" si="48"/>
        <v>*</v>
      </c>
      <c r="U52" s="465" t="str">
        <f t="shared" ca="1" si="48"/>
        <v>*</v>
      </c>
      <c r="V52" s="17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s="186" customFormat="1" ht="9" customHeight="1" thickBo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66"/>
      <c r="W53" s="166"/>
      <c r="X53" s="166"/>
    </row>
    <row r="54" spans="1:32" s="17" customFormat="1" ht="19.5" customHeight="1" thickTop="1">
      <c r="C54" s="687" t="s">
        <v>109</v>
      </c>
      <c r="D54" s="688"/>
      <c r="E54" s="688"/>
      <c r="F54" s="695"/>
      <c r="G54" s="695" t="s">
        <v>252</v>
      </c>
      <c r="H54" s="695" t="s">
        <v>253</v>
      </c>
      <c r="I54" s="695" t="s">
        <v>259</v>
      </c>
      <c r="J54" s="695" t="s">
        <v>86</v>
      </c>
      <c r="K54" s="750" t="s">
        <v>260</v>
      </c>
      <c r="L54" s="679" t="s">
        <v>254</v>
      </c>
      <c r="M54" s="680"/>
      <c r="N54" s="752" t="s">
        <v>255</v>
      </c>
      <c r="O54" s="756"/>
      <c r="P54" s="752" t="s">
        <v>256</v>
      </c>
      <c r="Q54" s="756"/>
      <c r="R54" s="752" t="s">
        <v>257</v>
      </c>
      <c r="S54" s="756"/>
      <c r="T54" s="752" t="s">
        <v>258</v>
      </c>
      <c r="U54" s="753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s="17" customFormat="1" ht="20.100000000000001" customHeight="1" thickBot="1">
      <c r="C55" s="689"/>
      <c r="D55" s="690"/>
      <c r="E55" s="690"/>
      <c r="F55" s="696"/>
      <c r="G55" s="696"/>
      <c r="H55" s="696"/>
      <c r="I55" s="696"/>
      <c r="J55" s="696"/>
      <c r="K55" s="751"/>
      <c r="L55" s="681"/>
      <c r="M55" s="682"/>
      <c r="N55" s="754"/>
      <c r="O55" s="757"/>
      <c r="P55" s="754"/>
      <c r="Q55" s="757"/>
      <c r="R55" s="754"/>
      <c r="S55" s="757"/>
      <c r="T55" s="754"/>
      <c r="U55" s="75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17" customFormat="1" ht="20.100000000000001" customHeight="1">
      <c r="A56" s="70">
        <f t="shared" ref="A56:A61" si="49">IF(($C56=id.255),3,IF(($C56=id.256),4,IF(($C56=id.215),5,IF(($C56=id.200),7,IF(($C56=id.285),10,IF(($C56=id.210),12,IF(($C56=id.106),13,IF(($C56=id.310),14,IF(($C56=id.141),15,IF(($C56=id.360),16,IF(($C56=id.245),17,IF(($C56=id.225),18,IF(($C56=id.192),19,IF(($C56=id.196),20,IF(($C56=id.330),21,IF(($C56=id.675),22,IF(($C56=id.730),23,IF(($C56=id.855),24,IF(($C56=id.180),28,IF(($C56=id.185),29,IF(($C56=id.195),30,IF(($C56=id.240),31,IF(($C56=id.300),32,IF(($C56=id.177),33,IF(($C56=id.860),35,IF(($C56=id.840),36,IF(($C56=id.865),37,IF(($C56=id.800),38,IF(($C56=id.600),41,IF(($C56=id.x1),43,IF(($C56=id.x2),44,"42")))))))))))))))))))))))))))))))</f>
        <v>16</v>
      </c>
      <c r="B56" s="70"/>
      <c r="C56" s="716" t="str">
        <f>IF((mm4.1=""),"",mm4.1)</f>
        <v/>
      </c>
      <c r="D56" s="717"/>
      <c r="E56" s="717"/>
      <c r="F56" s="94"/>
      <c r="G56" s="455" t="str">
        <f>IF(($C26=""),"*",IF((mm4r.1=""),"*",((mm4r.1*(total.hectares))*((mmix4.count)))))</f>
        <v>*</v>
      </c>
      <c r="H56" s="455" t="str">
        <f t="shared" ref="H56:H61" ca="1" si="50">IF(($C56=""),"*",(INDIRECT("'PRODUCT DATA'!$D"&amp;$A56&amp;"")*global.discount))</f>
        <v>*</v>
      </c>
      <c r="I56" s="455" t="str">
        <f ca="1">IF(OR($C56="",$H56=0),"*",(($H56)*mm4r.1))</f>
        <v>*</v>
      </c>
      <c r="J56" s="455" t="str">
        <f t="shared" ref="J56:J61" ca="1" si="51">IF(OR($C56="",$H56=0),"*",($H56*$G56/mmix4.count))</f>
        <v>*</v>
      </c>
      <c r="K56" s="455" t="str">
        <f t="shared" ref="K56:K61" ca="1" si="52">IF(OR($C56="",$H56=0),"*",($H56*$G56))</f>
        <v>*</v>
      </c>
      <c r="L56" s="456" t="str">
        <f t="shared" ref="L56:L61" si="53">IF(($C56=""),"0",(ROUNDUP(($G56/20),0)))</f>
        <v>0</v>
      </c>
      <c r="M56" s="455" t="str">
        <f t="shared" ref="M56:M61" ca="1" si="54">IF(OR($C56="",$H56=0),"*",$H56*($L56*20))</f>
        <v>*</v>
      </c>
      <c r="N56" s="461" t="str">
        <f t="shared" ref="N56:N61" si="55">IF(($L56*20)&lt;60,"*",($G56/60))</f>
        <v>*</v>
      </c>
      <c r="O56" s="461" t="str">
        <f t="shared" ref="O56:O61" ca="1" si="56">IF(OR($N56="*",$H56=0),"*",($H56-$R$17)*($N56*60))</f>
        <v>*</v>
      </c>
      <c r="P56" s="461" t="str">
        <f t="shared" ref="P56:P61" si="57">IF(($L56*20)&lt;120,"*",($G56/120))</f>
        <v>*</v>
      </c>
      <c r="Q56" s="461" t="str">
        <f t="shared" ref="Q56:Q61" ca="1" si="58">IF(OR($P56="*",$H56=0),"*",($H56-$R$18)*($P56*120))</f>
        <v>*</v>
      </c>
      <c r="R56" s="461" t="str">
        <f t="shared" ref="R56:R61" si="59">IF(($L56*20)&lt;220,"*",($G56/220))</f>
        <v>*</v>
      </c>
      <c r="S56" s="461" t="str">
        <f t="shared" ref="S56:S61" ca="1" si="60">IF(OR($R56="*",$H56=0),"*",($H56-$R$19)*($R56*220))</f>
        <v>*</v>
      </c>
      <c r="T56" s="461" t="str">
        <f t="shared" ref="T56:T61" si="61">IF(($L56*20)&lt;1080,"*",($G56/1080))</f>
        <v>*</v>
      </c>
      <c r="U56" s="462" t="str">
        <f t="shared" ref="U56:U61" ca="1" si="62">IF(OR($T56="*",$H56=0),"*",($H56-$R$20)*($T56*1080))</f>
        <v>*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s="17" customFormat="1" ht="20.100000000000001" customHeight="1">
      <c r="A57" s="70">
        <f t="shared" si="49"/>
        <v>16</v>
      </c>
      <c r="B57" s="70"/>
      <c r="C57" s="716" t="str">
        <f>IF((mm4.2=""),"",mm4.2)</f>
        <v/>
      </c>
      <c r="D57" s="717"/>
      <c r="E57" s="717"/>
      <c r="F57" s="94"/>
      <c r="G57" s="455" t="str">
        <f>IF(($C27=""),"*",IF((mm4r.2=""),"*",((mm4r.2*(total.hectares))*((mmix4.count)))))</f>
        <v>*</v>
      </c>
      <c r="H57" s="455" t="str">
        <f t="shared" ca="1" si="50"/>
        <v>*</v>
      </c>
      <c r="I57" s="455" t="str">
        <f ca="1">IF(OR($C57="",$H57=0),"*",(($H57)*mm4r.2))</f>
        <v>*</v>
      </c>
      <c r="J57" s="455" t="str">
        <f t="shared" ca="1" si="51"/>
        <v>*</v>
      </c>
      <c r="K57" s="455" t="str">
        <f t="shared" ca="1" si="52"/>
        <v>*</v>
      </c>
      <c r="L57" s="456" t="str">
        <f t="shared" si="53"/>
        <v>0</v>
      </c>
      <c r="M57" s="455" t="str">
        <f t="shared" ca="1" si="54"/>
        <v>*</v>
      </c>
      <c r="N57" s="461" t="str">
        <f t="shared" si="55"/>
        <v>*</v>
      </c>
      <c r="O57" s="461" t="str">
        <f t="shared" ca="1" si="56"/>
        <v>*</v>
      </c>
      <c r="P57" s="461" t="str">
        <f t="shared" si="57"/>
        <v>*</v>
      </c>
      <c r="Q57" s="461" t="str">
        <f t="shared" ca="1" si="58"/>
        <v>*</v>
      </c>
      <c r="R57" s="461" t="str">
        <f t="shared" si="59"/>
        <v>*</v>
      </c>
      <c r="S57" s="461" t="str">
        <f t="shared" ca="1" si="60"/>
        <v>*</v>
      </c>
      <c r="T57" s="461" t="str">
        <f t="shared" si="61"/>
        <v>*</v>
      </c>
      <c r="U57" s="462" t="str">
        <f t="shared" ca="1" si="62"/>
        <v>*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s="17" customFormat="1" ht="20.100000000000001" customHeight="1">
      <c r="A58" s="70">
        <f t="shared" si="49"/>
        <v>16</v>
      </c>
      <c r="B58" s="70"/>
      <c r="C58" s="716" t="str">
        <f>IF((mm4.3=""),"",mm4.3)</f>
        <v/>
      </c>
      <c r="D58" s="717"/>
      <c r="E58" s="717"/>
      <c r="F58" s="94"/>
      <c r="G58" s="455" t="str">
        <f>IF(($C28=""),"*",IF((mm4r.3=""),"*",((mm4r.3*(total.hectares))*((mmix4.count)))))</f>
        <v>*</v>
      </c>
      <c r="H58" s="455" t="str">
        <f t="shared" ca="1" si="50"/>
        <v>*</v>
      </c>
      <c r="I58" s="455" t="str">
        <f ca="1">IF(OR($C58="",$H58=0),"*",(($H58)*mm4r.3))</f>
        <v>*</v>
      </c>
      <c r="J58" s="455" t="str">
        <f t="shared" ca="1" si="51"/>
        <v>*</v>
      </c>
      <c r="K58" s="455" t="str">
        <f t="shared" ca="1" si="52"/>
        <v>*</v>
      </c>
      <c r="L58" s="456" t="str">
        <f t="shared" si="53"/>
        <v>0</v>
      </c>
      <c r="M58" s="455" t="str">
        <f t="shared" ca="1" si="54"/>
        <v>*</v>
      </c>
      <c r="N58" s="461" t="str">
        <f t="shared" si="55"/>
        <v>*</v>
      </c>
      <c r="O58" s="461" t="str">
        <f t="shared" ca="1" si="56"/>
        <v>*</v>
      </c>
      <c r="P58" s="461" t="str">
        <f t="shared" si="57"/>
        <v>*</v>
      </c>
      <c r="Q58" s="461" t="str">
        <f t="shared" ca="1" si="58"/>
        <v>*</v>
      </c>
      <c r="R58" s="461" t="str">
        <f t="shared" si="59"/>
        <v>*</v>
      </c>
      <c r="S58" s="461" t="str">
        <f t="shared" ca="1" si="60"/>
        <v>*</v>
      </c>
      <c r="T58" s="461" t="str">
        <f t="shared" si="61"/>
        <v>*</v>
      </c>
      <c r="U58" s="462" t="str">
        <f t="shared" ca="1" si="62"/>
        <v>*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s="17" customFormat="1" ht="20.100000000000001" customHeight="1">
      <c r="A59" s="70">
        <f t="shared" si="49"/>
        <v>16</v>
      </c>
      <c r="B59" s="70"/>
      <c r="C59" s="716" t="str">
        <f>IF((mm4.4=""),"",mm4.4)</f>
        <v/>
      </c>
      <c r="D59" s="717"/>
      <c r="E59" s="717"/>
      <c r="F59" s="94"/>
      <c r="G59" s="455" t="str">
        <f>IF(($C29=""),"*",IF((mm4r.4=""),"*",((mm4r.4*(total.hectares))*((mmix4.count)))))</f>
        <v>*</v>
      </c>
      <c r="H59" s="455" t="str">
        <f t="shared" ca="1" si="50"/>
        <v>*</v>
      </c>
      <c r="I59" s="455" t="str">
        <f ca="1">IF(OR($C59="",$H59=0),"*",(($H59)*mm4r.4))</f>
        <v>*</v>
      </c>
      <c r="J59" s="455" t="str">
        <f t="shared" ca="1" si="51"/>
        <v>*</v>
      </c>
      <c r="K59" s="455" t="str">
        <f t="shared" ca="1" si="52"/>
        <v>*</v>
      </c>
      <c r="L59" s="456" t="str">
        <f t="shared" si="53"/>
        <v>0</v>
      </c>
      <c r="M59" s="455" t="str">
        <f t="shared" ca="1" si="54"/>
        <v>*</v>
      </c>
      <c r="N59" s="461" t="str">
        <f t="shared" si="55"/>
        <v>*</v>
      </c>
      <c r="O59" s="461" t="str">
        <f t="shared" ca="1" si="56"/>
        <v>*</v>
      </c>
      <c r="P59" s="461" t="str">
        <f t="shared" si="57"/>
        <v>*</v>
      </c>
      <c r="Q59" s="461" t="str">
        <f t="shared" ca="1" si="58"/>
        <v>*</v>
      </c>
      <c r="R59" s="461" t="str">
        <f t="shared" si="59"/>
        <v>*</v>
      </c>
      <c r="S59" s="461" t="str">
        <f t="shared" ca="1" si="60"/>
        <v>*</v>
      </c>
      <c r="T59" s="461" t="str">
        <f t="shared" si="61"/>
        <v>*</v>
      </c>
      <c r="U59" s="462" t="str">
        <f t="shared" ca="1" si="62"/>
        <v>*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s="17" customFormat="1" ht="20.100000000000001" customHeight="1">
      <c r="A60" s="70">
        <f t="shared" si="49"/>
        <v>16</v>
      </c>
      <c r="B60" s="70"/>
      <c r="C60" s="716" t="str">
        <f>IF((mm4.5=""),"",mm4.5)</f>
        <v/>
      </c>
      <c r="D60" s="717"/>
      <c r="E60" s="717"/>
      <c r="F60" s="94"/>
      <c r="G60" s="455" t="str">
        <f>IF(($C30=""),"*",IF((mm4r.5=""),"*",((mm4r.5*(total.hectares))*((mmix4.count)))))</f>
        <v>*</v>
      </c>
      <c r="H60" s="455" t="str">
        <f t="shared" ca="1" si="50"/>
        <v>*</v>
      </c>
      <c r="I60" s="455" t="str">
        <f ca="1">IF(OR($C60="",$H60=0),"*",(($H60)*mm4r.5))</f>
        <v>*</v>
      </c>
      <c r="J60" s="455" t="str">
        <f t="shared" ca="1" si="51"/>
        <v>*</v>
      </c>
      <c r="K60" s="455" t="str">
        <f t="shared" ca="1" si="52"/>
        <v>*</v>
      </c>
      <c r="L60" s="456" t="str">
        <f t="shared" si="53"/>
        <v>0</v>
      </c>
      <c r="M60" s="455" t="str">
        <f t="shared" ca="1" si="54"/>
        <v>*</v>
      </c>
      <c r="N60" s="461" t="str">
        <f t="shared" si="55"/>
        <v>*</v>
      </c>
      <c r="O60" s="461" t="str">
        <f t="shared" ca="1" si="56"/>
        <v>*</v>
      </c>
      <c r="P60" s="461" t="str">
        <f t="shared" si="57"/>
        <v>*</v>
      </c>
      <c r="Q60" s="461" t="str">
        <f t="shared" ca="1" si="58"/>
        <v>*</v>
      </c>
      <c r="R60" s="461" t="str">
        <f t="shared" si="59"/>
        <v>*</v>
      </c>
      <c r="S60" s="461" t="str">
        <f t="shared" ca="1" si="60"/>
        <v>*</v>
      </c>
      <c r="T60" s="461" t="str">
        <f t="shared" si="61"/>
        <v>*</v>
      </c>
      <c r="U60" s="462" t="str">
        <f t="shared" ca="1" si="62"/>
        <v>*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s="17" customFormat="1" ht="20.100000000000001" customHeight="1" thickBot="1">
      <c r="A61" s="70">
        <f t="shared" si="49"/>
        <v>16</v>
      </c>
      <c r="B61" s="70"/>
      <c r="C61" s="720" t="str">
        <f>IF((mm4.6=""),"",mm4.6)</f>
        <v/>
      </c>
      <c r="D61" s="721"/>
      <c r="E61" s="721"/>
      <c r="F61" s="148"/>
      <c r="G61" s="458" t="str">
        <f>IF(($C31=""),"*",IF((mm4r.6=""),"*",((mm4r.6*(total.hectares))*((mmix4.count)))))</f>
        <v>*</v>
      </c>
      <c r="H61" s="457" t="str">
        <f t="shared" ca="1" si="50"/>
        <v>*</v>
      </c>
      <c r="I61" s="458" t="str">
        <f ca="1">IF(OR($C61="",$H61=0),"*",(($H61)*mm4r.6))</f>
        <v>*</v>
      </c>
      <c r="J61" s="458" t="str">
        <f t="shared" ca="1" si="51"/>
        <v>*</v>
      </c>
      <c r="K61" s="458" t="str">
        <f t="shared" ca="1" si="52"/>
        <v>*</v>
      </c>
      <c r="L61" s="459" t="str">
        <f t="shared" si="53"/>
        <v>0</v>
      </c>
      <c r="M61" s="458" t="str">
        <f t="shared" ca="1" si="54"/>
        <v>*</v>
      </c>
      <c r="N61" s="463" t="str">
        <f t="shared" si="55"/>
        <v>*</v>
      </c>
      <c r="O61" s="463" t="str">
        <f t="shared" ca="1" si="56"/>
        <v>*</v>
      </c>
      <c r="P61" s="463" t="str">
        <f t="shared" si="57"/>
        <v>*</v>
      </c>
      <c r="Q61" s="463" t="str">
        <f t="shared" ca="1" si="58"/>
        <v>*</v>
      </c>
      <c r="R61" s="463" t="str">
        <f t="shared" si="59"/>
        <v>*</v>
      </c>
      <c r="S61" s="463" t="str">
        <f t="shared" ca="1" si="60"/>
        <v>*</v>
      </c>
      <c r="T61" s="463" t="str">
        <f t="shared" si="61"/>
        <v>*</v>
      </c>
      <c r="U61" s="464" t="str">
        <f t="shared" ca="1" si="62"/>
        <v>*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138" customFormat="1" ht="20.100000000000001" customHeight="1" thickTop="1">
      <c r="C62" s="722" t="s">
        <v>94</v>
      </c>
      <c r="D62" s="722"/>
      <c r="E62" s="722"/>
      <c r="F62" s="93"/>
      <c r="G62" s="460" t="str">
        <f t="shared" ref="G62:U62" si="63">IF(SUM(G56:G61)=0,"*",SUM(G56:G61))</f>
        <v>*</v>
      </c>
      <c r="H62" s="460" t="str">
        <f t="shared" ca="1" si="63"/>
        <v>*</v>
      </c>
      <c r="I62" s="460" t="str">
        <f t="shared" ca="1" si="63"/>
        <v>*</v>
      </c>
      <c r="J62" s="460" t="str">
        <f t="shared" ca="1" si="63"/>
        <v>*</v>
      </c>
      <c r="K62" s="460" t="str">
        <f t="shared" ca="1" si="63"/>
        <v>*</v>
      </c>
      <c r="L62" s="460" t="str">
        <f t="shared" si="63"/>
        <v>*</v>
      </c>
      <c r="M62" s="460" t="str">
        <f t="shared" ca="1" si="63"/>
        <v>*</v>
      </c>
      <c r="N62" s="460" t="str">
        <f t="shared" si="63"/>
        <v>*</v>
      </c>
      <c r="O62" s="460" t="str">
        <f t="shared" ca="1" si="63"/>
        <v>*</v>
      </c>
      <c r="P62" s="460" t="str">
        <f t="shared" si="63"/>
        <v>*</v>
      </c>
      <c r="Q62" s="460" t="str">
        <f t="shared" ca="1" si="63"/>
        <v>*</v>
      </c>
      <c r="R62" s="460" t="str">
        <f t="shared" si="63"/>
        <v>*</v>
      </c>
      <c r="S62" s="460" t="str">
        <f t="shared" ca="1" si="63"/>
        <v>*</v>
      </c>
      <c r="T62" s="460" t="str">
        <f t="shared" si="63"/>
        <v>*</v>
      </c>
      <c r="U62" s="465" t="str">
        <f t="shared" ca="1" si="63"/>
        <v>*</v>
      </c>
      <c r="V62" s="17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s="186" customFormat="1" ht="9" customHeight="1" thickBo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66"/>
      <c r="W63" s="166"/>
      <c r="X63" s="166"/>
    </row>
    <row r="64" spans="1:32" s="17" customFormat="1" ht="19.5" customHeight="1" thickTop="1">
      <c r="C64" s="687"/>
      <c r="D64" s="688"/>
      <c r="E64" s="688"/>
      <c r="F64" s="679" t="s">
        <v>262</v>
      </c>
      <c r="G64" s="680"/>
      <c r="H64" s="695" t="s">
        <v>265</v>
      </c>
      <c r="I64" s="695" t="s">
        <v>259</v>
      </c>
      <c r="J64" s="695" t="s">
        <v>86</v>
      </c>
      <c r="K64" s="750" t="s">
        <v>260</v>
      </c>
      <c r="L64" s="679" t="s">
        <v>136</v>
      </c>
      <c r="M64" s="680"/>
      <c r="N64" s="679"/>
      <c r="O64" s="680"/>
      <c r="P64" s="679"/>
      <c r="Q64" s="693"/>
      <c r="R64" s="718"/>
      <c r="S64" s="719"/>
      <c r="T64" s="719"/>
      <c r="U64" s="719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s="17" customFormat="1" ht="20.100000000000001" customHeight="1" thickBot="1">
      <c r="C65" s="689"/>
      <c r="D65" s="690"/>
      <c r="E65" s="690"/>
      <c r="F65" s="681"/>
      <c r="G65" s="682"/>
      <c r="H65" s="696"/>
      <c r="I65" s="696"/>
      <c r="J65" s="696"/>
      <c r="K65" s="751"/>
      <c r="L65" s="681"/>
      <c r="M65" s="682"/>
      <c r="N65" s="681"/>
      <c r="O65" s="682"/>
      <c r="P65" s="681"/>
      <c r="Q65" s="694"/>
      <c r="R65" s="718"/>
      <c r="S65" s="719"/>
      <c r="T65" s="719"/>
      <c r="U65" s="719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s="17" customFormat="1" ht="24" customHeight="1" thickBot="1">
      <c r="A66" s="70"/>
      <c r="B66" s="70"/>
      <c r="C66" s="711" t="s">
        <v>184</v>
      </c>
      <c r="D66" s="712"/>
      <c r="E66" s="713"/>
      <c r="F66" s="466"/>
      <c r="G66" s="467"/>
      <c r="H66" s="467"/>
      <c r="I66" s="468"/>
      <c r="J66" s="468"/>
      <c r="K66" s="468"/>
      <c r="L66" s="469"/>
      <c r="M66" s="468"/>
      <c r="N66" s="470"/>
      <c r="O66" s="468"/>
      <c r="P66" s="470"/>
      <c r="Q66" s="471"/>
      <c r="R66" s="163"/>
      <c r="S66" s="164"/>
      <c r="T66" s="165"/>
      <c r="U66" s="164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s="17" customFormat="1" ht="20.100000000000001" customHeight="1" thickBot="1">
      <c r="A67" s="70" t="str">
        <f>IF(($C67=id.x3),45,"42")</f>
        <v>42</v>
      </c>
      <c r="B67" s="70"/>
      <c r="C67" s="691" t="str">
        <f>IF((ms1.1=""),"",ms1.1)</f>
        <v/>
      </c>
      <c r="D67" s="692"/>
      <c r="E67" s="692"/>
      <c r="F67" s="683" t="str">
        <f>IF(($C67=""),"*",IF((ms1r.1=""),"0",(((ms1r.1*(total.sqm)/1000))*((mspreader1.count)))))</f>
        <v>*</v>
      </c>
      <c r="G67" s="684"/>
      <c r="H67" s="472" t="str">
        <f ca="1">IF(($C67=""),"*",((INDIRECT("'PRODUCT DATA'!$D"&amp;$A67&amp;"")/INDIRECT("'PRODUCT DATA'!$H"&amp;$A67&amp;""))*global.discount))</f>
        <v>*</v>
      </c>
      <c r="I67" s="472" t="str">
        <f ca="1">IF(OR($C67="",$H67=0),"*",(((ms1r.1*10000)/1000)*$H69))</f>
        <v>*</v>
      </c>
      <c r="J67" s="472" t="str">
        <f ca="1">IF(OR($C67="",$H67=0),"*",($H67*$F67/mspreader1.count))</f>
        <v>*</v>
      </c>
      <c r="K67" s="472" t="str">
        <f ca="1">IF(OR($C67="",$H67=0),"*",($H67*$F67))</f>
        <v>*</v>
      </c>
      <c r="L67" s="472" t="str">
        <f ca="1">IF(($C67=""),"0",(ROUNDUP(($F67/INDIRECT("'PRODUCT DATA'!$H"&amp;$A67&amp;"")),0)))</f>
        <v>0</v>
      </c>
      <c r="M67" s="472" t="str">
        <f ca="1">IF(OR($C67="",$H67=0),"*",$H67*($L67*INDIRECT("'PRODUCT DATA'!$H"&amp;$A67&amp;"")))</f>
        <v>*</v>
      </c>
      <c r="N67" s="472"/>
      <c r="O67" s="472"/>
      <c r="P67" s="472"/>
      <c r="Q67" s="482"/>
      <c r="R67" s="163"/>
      <c r="S67" s="164"/>
      <c r="T67" s="165"/>
      <c r="U67" s="164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s="17" customFormat="1" ht="24" customHeight="1" thickBot="1">
      <c r="A68" s="70"/>
      <c r="B68" s="70"/>
      <c r="C68" s="674" t="s">
        <v>185</v>
      </c>
      <c r="D68" s="675"/>
      <c r="E68" s="676"/>
      <c r="F68" s="466"/>
      <c r="G68" s="467"/>
      <c r="H68" s="467"/>
      <c r="I68" s="468"/>
      <c r="J68" s="467"/>
      <c r="K68" s="467"/>
      <c r="L68" s="467"/>
      <c r="M68" s="467"/>
      <c r="N68" s="467"/>
      <c r="O68" s="467"/>
      <c r="P68" s="467"/>
      <c r="Q68" s="483"/>
      <c r="R68" s="163"/>
      <c r="S68" s="164"/>
      <c r="T68" s="165"/>
      <c r="U68" s="164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s="17" customFormat="1" ht="20.100000000000001" customHeight="1" thickBot="1">
      <c r="A69" s="70">
        <f>IF(($C69=id.1220),47,IF(($C69=id.1270),48,IF(($C69=id.1200),49,IF(($C69=id.1340),50,IF(($C69=id.1240),51,IF(($C69=id.1440),52,IF(($C69=id.1400),53,IF(($C69=id.1410),54,IF(($C69=id.1430),55,IF(($C69=id.1420),56,IF(($C69=id.1320),62,IF(($C69=id.1360),63,IF(($C69=id.1370),64,IF(($C69=id.2020),65,IF(($C69=id.2000),66,IF(($C69=id.z1),68,IF(($C69=id.z2),69,"67")))))))))))))))))</f>
        <v>47</v>
      </c>
      <c r="B69" s="70"/>
      <c r="C69" s="691" t="str">
        <f>IF((ms2.1=""),"",ms2.1)</f>
        <v/>
      </c>
      <c r="D69" s="692"/>
      <c r="E69" s="692"/>
      <c r="F69" s="683" t="str">
        <f>IF(($C69=""),"*",IF((ms2r.1=""),"0",(((ms2r.1*(total.sqm)/1000))*((mspreader2.count)))))</f>
        <v>*</v>
      </c>
      <c r="G69" s="684"/>
      <c r="H69" s="472" t="str">
        <f ca="1">IF(($C69=""),"*",((INDIRECT("'PRODUCT DATA'!$D"&amp;$A69&amp;"")/INDIRECT("'PRODUCT DATA'!$H"&amp;$A69&amp;""))*global.discount))</f>
        <v>*</v>
      </c>
      <c r="I69" s="472" t="str">
        <f ca="1">IF(OR($C69="",$H69=0),"*",(((ms2r.1*10000)/1000)*$H69))</f>
        <v>*</v>
      </c>
      <c r="J69" s="472" t="str">
        <f ca="1">IF(OR($C69="",$H69=0),"*",($H69*$F69/mspreader2.count))</f>
        <v>*</v>
      </c>
      <c r="K69" s="472" t="str">
        <f ca="1">IF(OR($C69="",$H69=0),"*",($H69*$F69))</f>
        <v>*</v>
      </c>
      <c r="L69" s="472" t="str">
        <f ca="1">IF(($C69=""),"0",(ROUNDUP(($F69/INDIRECT("'PRODUCT DATA'!$H"&amp;$A69&amp;"")),0)))</f>
        <v>0</v>
      </c>
      <c r="M69" s="472" t="str">
        <f ca="1">IF(OR($C69="",$H69=0),"*",$H69*($L69*INDIRECT("'PRODUCT DATA'!$H"&amp;$A69&amp;"")))</f>
        <v>*</v>
      </c>
      <c r="N69" s="472"/>
      <c r="O69" s="472"/>
      <c r="P69" s="472"/>
      <c r="Q69" s="482"/>
      <c r="R69" s="163"/>
      <c r="S69" s="164"/>
      <c r="T69" s="165"/>
      <c r="U69" s="164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s="17" customFormat="1" ht="24" customHeight="1" thickBot="1">
      <c r="A70" s="70"/>
      <c r="B70" s="70"/>
      <c r="C70" s="674" t="s">
        <v>186</v>
      </c>
      <c r="D70" s="675"/>
      <c r="E70" s="676"/>
      <c r="F70" s="466"/>
      <c r="G70" s="467"/>
      <c r="H70" s="467"/>
      <c r="I70" s="468"/>
      <c r="J70" s="467"/>
      <c r="K70" s="467"/>
      <c r="L70" s="467"/>
      <c r="M70" s="467"/>
      <c r="N70" s="467"/>
      <c r="O70" s="467"/>
      <c r="P70" s="467"/>
      <c r="Q70" s="483"/>
      <c r="R70" s="163"/>
      <c r="S70" s="164"/>
      <c r="T70" s="165"/>
      <c r="U70" s="164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s="17" customFormat="1" ht="20.100000000000001" customHeight="1" thickBot="1">
      <c r="A71" s="70">
        <f>IF(($C71=id.1220),47,IF(($C71=id.1270),48,IF(($C71=id.1200),49,IF(($C71=id.1340),50,IF(($C71=id.1240),51,IF(($C71=id.1440),52,IF(($C71=id.1400),53,IF(($C71=id.1410),54,IF(($C71=id.1430),55,IF(($C71=id.1420),56,IF(($C71=id.1320),62,IF(($C71=id.1360),63,IF(($C71=id.1370),64,IF(($C71=id.2020),65,IF(($C71=id.2000),66,IF(($C71=id.z1),68,IF(($C71=id.z2),69,"67")))))))))))))))))</f>
        <v>47</v>
      </c>
      <c r="B71" s="70"/>
      <c r="C71" s="691" t="str">
        <f>IF((ms3.1=""),"",ms3.1)</f>
        <v/>
      </c>
      <c r="D71" s="692"/>
      <c r="E71" s="692"/>
      <c r="F71" s="683" t="str">
        <f>IF(($C71=""),"*",IF((ms3r.1=""),"0",(((ms3r.1*(total.sqm)/1000))*((mspreader3.count)))))</f>
        <v>*</v>
      </c>
      <c r="G71" s="684"/>
      <c r="H71" s="472" t="str">
        <f ca="1">IF(($C71=""),"*",((INDIRECT("'PRODUCT DATA'!$D"&amp;$A71&amp;"")/INDIRECT("'PRODUCT DATA'!$H"&amp;$A71&amp;""))*global.discount))</f>
        <v>*</v>
      </c>
      <c r="I71" s="472" t="str">
        <f ca="1">IF(OR($C71="",$H71=0),"*",(((ms3r.1*10000)/1000)*$H69))</f>
        <v>*</v>
      </c>
      <c r="J71" s="472" t="str">
        <f ca="1">IF(OR($C71="",$H71=0),"*",($H71*$F71/mspreader3.count))</f>
        <v>*</v>
      </c>
      <c r="K71" s="472" t="str">
        <f ca="1">IF(OR($C71="",$H71=0),"*",($H71*$F71))</f>
        <v>*</v>
      </c>
      <c r="L71" s="472" t="str">
        <f ca="1">IF(($C71=""),"0",(ROUNDUP(($F71/INDIRECT("'PRODUCT DATA'!$H"&amp;$A71&amp;"")),0)))</f>
        <v>0</v>
      </c>
      <c r="M71" s="472" t="str">
        <f ca="1">IF(OR($C71="",$H71=0),"*",$H71*($L71*INDIRECT("'PRODUCT DATA'!$H"&amp;$A71&amp;"")))</f>
        <v>*</v>
      </c>
      <c r="N71" s="472"/>
      <c r="O71" s="472"/>
      <c r="P71" s="472"/>
      <c r="Q71" s="482"/>
      <c r="R71" s="163"/>
      <c r="S71" s="164"/>
      <c r="T71" s="165"/>
      <c r="U71" s="164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s="17" customFormat="1" ht="24" customHeight="1" thickBot="1">
      <c r="A72" s="70"/>
      <c r="B72" s="70"/>
      <c r="C72" s="674" t="s">
        <v>187</v>
      </c>
      <c r="D72" s="675"/>
      <c r="E72" s="676"/>
      <c r="F72" s="466"/>
      <c r="G72" s="467"/>
      <c r="H72" s="467"/>
      <c r="I72" s="468"/>
      <c r="J72" s="467"/>
      <c r="K72" s="467"/>
      <c r="L72" s="467"/>
      <c r="M72" s="467"/>
      <c r="N72" s="467"/>
      <c r="O72" s="467"/>
      <c r="P72" s="467"/>
      <c r="Q72" s="483"/>
      <c r="R72" s="163"/>
      <c r="S72" s="164"/>
      <c r="T72" s="165"/>
      <c r="U72" s="164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s="17" customFormat="1" ht="20.100000000000001" customHeight="1" thickBot="1">
      <c r="A73" s="70">
        <f>IF(($C73=id.1220),47,IF(($C73=id.1270),48,IF(($C73=id.1200),49,IF(($C73=id.1340),50,IF(($C73=id.1240),51,IF(($C73=id.1440),52,IF(($C73=id.1400),53,IF(($C73=id.1410),54,IF(($C73=id.1430),55,IF(($C73=id.1420),56,IF(($C73=id.1320),62,IF(($C73=id.1360),63,IF(($C73=id.1370),64,IF(($C73=id.2020),65,IF(($C73=id.2000),66,IF(($C73=id.z1),68,IF(($C73=id.z2),69,"67")))))))))))))))))</f>
        <v>47</v>
      </c>
      <c r="B73" s="70"/>
      <c r="C73" s="677" t="str">
        <f>IF((ms4.1=""),"",ms4.1)</f>
        <v/>
      </c>
      <c r="D73" s="678"/>
      <c r="E73" s="678"/>
      <c r="F73" s="685" t="str">
        <f>IF(($C73=""),"*",IF((ms4r.1=""),"0",(((ms4r.1*(total.sqm)/1000))*((mspreader4.count)))))</f>
        <v>*</v>
      </c>
      <c r="G73" s="686"/>
      <c r="H73" s="477" t="str">
        <f ca="1">IF(($C73=""),"*",((INDIRECT("'PRODUCT DATA'!$D"&amp;$A73&amp;"")/INDIRECT("'PRODUCT DATA'!$H"&amp;$A73&amp;""))*global.discount))</f>
        <v>*</v>
      </c>
      <c r="I73" s="477" t="str">
        <f ca="1">IF(OR($C73="",$H73=0),"*",(((ms4r.1*10000)/1000)*$H69))</f>
        <v>*</v>
      </c>
      <c r="J73" s="477" t="str">
        <f ca="1">IF(OR($C73="",$H73=0),"*",($H73*$F73/mspreader4.count))</f>
        <v>*</v>
      </c>
      <c r="K73" s="477" t="str">
        <f ca="1">IF(OR($C73="",$H73=0),"*",($H73*$F73))</f>
        <v>*</v>
      </c>
      <c r="L73" s="477" t="str">
        <f ca="1">IF(($C73=""),"0",(ROUNDUP(($F73/INDIRECT("'PRODUCT DATA'!$H"&amp;$A73&amp;"")),0)))</f>
        <v>0</v>
      </c>
      <c r="M73" s="477" t="str">
        <f ca="1">IF(OR($C73="",$H73=0),"*",$H73*($L73*INDIRECT("'PRODUCT DATA'!$H"&amp;$A73&amp;"")))</f>
        <v>*</v>
      </c>
      <c r="N73" s="477"/>
      <c r="O73" s="477"/>
      <c r="P73" s="477"/>
      <c r="Q73" s="484"/>
      <c r="R73" s="163"/>
      <c r="S73" s="164"/>
      <c r="T73" s="165"/>
      <c r="U73" s="164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s="186" customFormat="1" ht="19.5" customHeight="1" thickTop="1"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32" s="186" customFormat="1" ht="19.5" customHeight="1"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</row>
    <row r="76" spans="1:32" s="186" customFormat="1" ht="19.5" customHeight="1"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</row>
    <row r="77" spans="1:32" s="186" customFormat="1" ht="19.5" customHeight="1"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</row>
    <row r="78" spans="1:32" s="186" customFormat="1" ht="19.5" customHeight="1"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32" s="186" customFormat="1" ht="19.5" customHeight="1"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32" s="186" customFormat="1" ht="19.5" customHeight="1"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3:24" s="186" customFormat="1" ht="19.5" customHeight="1"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3:24" s="186" customFormat="1" ht="19.5" customHeight="1"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3:24" s="186" customFormat="1" ht="19.5" customHeight="1"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3:24" s="186" customFormat="1" ht="19.5" customHeight="1"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3:24" s="186" customFormat="1" ht="19.5" customHeight="1"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3:24" s="186" customFormat="1" ht="19.5" customHeight="1"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3:24" s="186" customFormat="1" ht="19.5" customHeight="1"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3:24" s="186" customFormat="1" ht="19.5" customHeight="1"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3:24" s="186" customFormat="1" ht="19.5" customHeight="1"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3:24" s="186" customFormat="1" ht="19.5" customHeight="1"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3:24" s="186" customFormat="1" ht="19.5" customHeight="1"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3:24" s="186" customFormat="1" ht="19.5" customHeight="1"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3:24" s="186" customFormat="1" ht="19.5" customHeight="1"/>
  </sheetData>
  <sheetProtection password="D361" sheet="1" objects="1" scenarios="1" selectLockedCells="1"/>
  <mergeCells count="137">
    <mergeCell ref="H7:J7"/>
    <mergeCell ref="H6:J6"/>
    <mergeCell ref="H5:J5"/>
    <mergeCell ref="H4:J4"/>
    <mergeCell ref="C5:D5"/>
    <mergeCell ref="S5:T5"/>
    <mergeCell ref="W5:Z5"/>
    <mergeCell ref="AA5:AB5"/>
    <mergeCell ref="R6:U6"/>
    <mergeCell ref="W6:Z6"/>
    <mergeCell ref="AA6:AB6"/>
    <mergeCell ref="C2:D2"/>
    <mergeCell ref="E2:H2"/>
    <mergeCell ref="R2:U2"/>
    <mergeCell ref="C3:D3"/>
    <mergeCell ref="E3:I3"/>
    <mergeCell ref="S3:T4"/>
    <mergeCell ref="C4:D4"/>
    <mergeCell ref="AC9:AD9"/>
    <mergeCell ref="S10:T10"/>
    <mergeCell ref="Y10:Z10"/>
    <mergeCell ref="N9:P22"/>
    <mergeCell ref="S7:T7"/>
    <mergeCell ref="S8:T8"/>
    <mergeCell ref="W8:X8"/>
    <mergeCell ref="Y8:Z8"/>
    <mergeCell ref="AA8:AB8"/>
    <mergeCell ref="AC8:AD8"/>
    <mergeCell ref="S11:T11"/>
    <mergeCell ref="Y11:Z11"/>
    <mergeCell ref="Y12:Z12"/>
    <mergeCell ref="Y13:Z13"/>
    <mergeCell ref="R15:R16"/>
    <mergeCell ref="S15:T16"/>
    <mergeCell ref="D9:L9"/>
    <mergeCell ref="R9:U9"/>
    <mergeCell ref="Y9:Z9"/>
    <mergeCell ref="T24:U25"/>
    <mergeCell ref="C26:E26"/>
    <mergeCell ref="C27:E27"/>
    <mergeCell ref="S17:T17"/>
    <mergeCell ref="C24:E25"/>
    <mergeCell ref="F24:F25"/>
    <mergeCell ref="G24:G25"/>
    <mergeCell ref="H24:H25"/>
    <mergeCell ref="I24:I25"/>
    <mergeCell ref="J24:J25"/>
    <mergeCell ref="K24:K25"/>
    <mergeCell ref="L24:M25"/>
    <mergeCell ref="C28:E28"/>
    <mergeCell ref="C29:E29"/>
    <mergeCell ref="C30:E30"/>
    <mergeCell ref="C31:E31"/>
    <mergeCell ref="C32:E32"/>
    <mergeCell ref="C34:E35"/>
    <mergeCell ref="N24:O25"/>
    <mergeCell ref="P24:Q25"/>
    <mergeCell ref="R24:S25"/>
    <mergeCell ref="R34:S35"/>
    <mergeCell ref="T34:U35"/>
    <mergeCell ref="C36:E36"/>
    <mergeCell ref="F34:F35"/>
    <mergeCell ref="G34:G35"/>
    <mergeCell ref="H34:H35"/>
    <mergeCell ref="I34:I35"/>
    <mergeCell ref="J34:J35"/>
    <mergeCell ref="K34:K35"/>
    <mergeCell ref="C37:E37"/>
    <mergeCell ref="C38:E38"/>
    <mergeCell ref="C39:E39"/>
    <mergeCell ref="C40:E40"/>
    <mergeCell ref="C41:E41"/>
    <mergeCell ref="C42:E42"/>
    <mergeCell ref="L34:M35"/>
    <mergeCell ref="N34:O35"/>
    <mergeCell ref="P34:Q35"/>
    <mergeCell ref="K44:K45"/>
    <mergeCell ref="L44:M45"/>
    <mergeCell ref="N44:O45"/>
    <mergeCell ref="P44:Q45"/>
    <mergeCell ref="R44:S45"/>
    <mergeCell ref="T44:U45"/>
    <mergeCell ref="C44:E45"/>
    <mergeCell ref="F44:F45"/>
    <mergeCell ref="G44:G45"/>
    <mergeCell ref="H44:H45"/>
    <mergeCell ref="I44:I45"/>
    <mergeCell ref="J44:J45"/>
    <mergeCell ref="C61:E61"/>
    <mergeCell ref="C52:E52"/>
    <mergeCell ref="C46:E46"/>
    <mergeCell ref="C47:E47"/>
    <mergeCell ref="C48:E48"/>
    <mergeCell ref="C49:E49"/>
    <mergeCell ref="C50:E50"/>
    <mergeCell ref="C51:E51"/>
    <mergeCell ref="C62:E62"/>
    <mergeCell ref="C64:E65"/>
    <mergeCell ref="F64:G65"/>
    <mergeCell ref="H64:H65"/>
    <mergeCell ref="I64:I65"/>
    <mergeCell ref="T54:U55"/>
    <mergeCell ref="C56:E56"/>
    <mergeCell ref="C57:E57"/>
    <mergeCell ref="C58:E58"/>
    <mergeCell ref="C59:E59"/>
    <mergeCell ref="C60:E60"/>
    <mergeCell ref="J54:J55"/>
    <mergeCell ref="K54:K55"/>
    <mergeCell ref="L54:M55"/>
    <mergeCell ref="N54:O55"/>
    <mergeCell ref="P54:Q55"/>
    <mergeCell ref="R54:S55"/>
    <mergeCell ref="C54:E55"/>
    <mergeCell ref="F54:F55"/>
    <mergeCell ref="G54:G55"/>
    <mergeCell ref="H54:H55"/>
    <mergeCell ref="I54:I55"/>
    <mergeCell ref="C70:E70"/>
    <mergeCell ref="C71:E71"/>
    <mergeCell ref="F71:G71"/>
    <mergeCell ref="C72:E72"/>
    <mergeCell ref="C73:E73"/>
    <mergeCell ref="F73:G73"/>
    <mergeCell ref="T64:U65"/>
    <mergeCell ref="C66:E66"/>
    <mergeCell ref="C67:E67"/>
    <mergeCell ref="F67:G67"/>
    <mergeCell ref="C68:E68"/>
    <mergeCell ref="C69:E69"/>
    <mergeCell ref="F69:G69"/>
    <mergeCell ref="J64:J65"/>
    <mergeCell ref="K64:K65"/>
    <mergeCell ref="L64:M65"/>
    <mergeCell ref="N64:O65"/>
    <mergeCell ref="P64:Q65"/>
    <mergeCell ref="R64:S65"/>
  </mergeCells>
  <conditionalFormatting sqref="J21:L21">
    <cfRule type="iconSet" priority="157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C8:L8">
    <cfRule type="iconSet" priority="156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K21">
    <cfRule type="iconSet" priority="155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L31 L41 L51 L61">
    <cfRule type="expression" dxfId="138" priority="152">
      <formula>"$L$30=0"</formula>
    </cfRule>
  </conditionalFormatting>
  <conditionalFormatting sqref="H32:K32 M32 O32 Q32 S32 U32 F26:U31 I36:I42 H42:K42 M42 O42 Q42 S42 U42 G36:U41 I46:I52 H52:K52 M52 O52 Q52 S52 U52 G46:U51 I56:I62 H62:K62 M62 O62 Q62 S62 U62 G56:U61">
    <cfRule type="cellIs" dxfId="137" priority="151" operator="equal">
      <formula>"*"</formula>
    </cfRule>
  </conditionalFormatting>
  <conditionalFormatting sqref="G66 G68 G70 G72 F66:F73 F36:U41 F46:U51 F56:U61 H66:U73">
    <cfRule type="cellIs" dxfId="136" priority="149" operator="equal">
      <formula>"*"</formula>
    </cfRule>
    <cfRule type="cellIs" priority="150" operator="equal">
      <formula>"*"</formula>
    </cfRule>
  </conditionalFormatting>
  <conditionalFormatting sqref="L26:L31">
    <cfRule type="cellIs" dxfId="135" priority="146" operator="greaterThan">
      <formula>0</formula>
    </cfRule>
    <cfRule type="cellIs" dxfId="134" priority="148" operator="equal">
      <formula>0</formula>
    </cfRule>
  </conditionalFormatting>
  <conditionalFormatting sqref="L28:L31">
    <cfRule type="cellIs" dxfId="133" priority="147" operator="equal">
      <formula>0</formula>
    </cfRule>
  </conditionalFormatting>
  <conditionalFormatting sqref="I26:K32 M26:M32 Q26:Q32 S26:S32 U26:U32 O26:O32">
    <cfRule type="cellIs" dxfId="132" priority="145" operator="lessThanOrEqual">
      <formula>0</formula>
    </cfRule>
  </conditionalFormatting>
  <conditionalFormatting sqref="F27:U32">
    <cfRule type="cellIs" dxfId="131" priority="144" operator="lessThan">
      <formula>0</formula>
    </cfRule>
  </conditionalFormatting>
  <conditionalFormatting sqref="F26:U32 F36:U42 F46:U52 F56:U62 F67:Q69 F71:Q71 F73:Q73">
    <cfRule type="cellIs" dxfId="130" priority="143" operator="lessThan">
      <formula>0</formula>
    </cfRule>
  </conditionalFormatting>
  <conditionalFormatting sqref="L21">
    <cfRule type="iconSet" priority="139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J21:L21">
    <cfRule type="iconSet" priority="138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C26:E31 C36:E41 C46:E51 C56:E61">
    <cfRule type="duplicateValues" dxfId="129" priority="136"/>
  </conditionalFormatting>
  <conditionalFormatting sqref="N42">
    <cfRule type="cellIs" dxfId="128" priority="135" operator="lessThan">
      <formula>0</formula>
    </cfRule>
  </conditionalFormatting>
  <conditionalFormatting sqref="T42 R42 P42">
    <cfRule type="cellIs" dxfId="127" priority="134" operator="lessThan">
      <formula>0</formula>
    </cfRule>
  </conditionalFormatting>
  <conditionalFormatting sqref="N52">
    <cfRule type="cellIs" dxfId="126" priority="133" operator="lessThan">
      <formula>0</formula>
    </cfRule>
  </conditionalFormatting>
  <conditionalFormatting sqref="O52:Q52">
    <cfRule type="cellIs" dxfId="125" priority="132" operator="lessThan">
      <formula>0</formula>
    </cfRule>
  </conditionalFormatting>
  <conditionalFormatting sqref="N62">
    <cfRule type="cellIs" dxfId="124" priority="131" operator="lessThan">
      <formula>0</formula>
    </cfRule>
  </conditionalFormatting>
  <conditionalFormatting sqref="N52">
    <cfRule type="cellIs" dxfId="123" priority="130" operator="lessThan">
      <formula>0</formula>
    </cfRule>
  </conditionalFormatting>
  <conditionalFormatting sqref="T52 R52 P52">
    <cfRule type="cellIs" dxfId="122" priority="129" operator="lessThan">
      <formula>0</formula>
    </cfRule>
  </conditionalFormatting>
  <conditionalFormatting sqref="T52 R52 P52">
    <cfRule type="cellIs" dxfId="121" priority="128" operator="lessThan">
      <formula>0</formula>
    </cfRule>
  </conditionalFormatting>
  <conditionalFormatting sqref="N62">
    <cfRule type="cellIs" dxfId="120" priority="127" operator="lessThan">
      <formula>0</formula>
    </cfRule>
  </conditionalFormatting>
  <conditionalFormatting sqref="N62">
    <cfRule type="cellIs" dxfId="119" priority="126" operator="lessThan">
      <formula>0</formula>
    </cfRule>
  </conditionalFormatting>
  <conditionalFormatting sqref="T62 R62 P62">
    <cfRule type="cellIs" dxfId="118" priority="125" operator="lessThan">
      <formula>0</formula>
    </cfRule>
  </conditionalFormatting>
  <conditionalFormatting sqref="T62 R62 P62">
    <cfRule type="cellIs" dxfId="117" priority="124" operator="lessThan">
      <formula>0</formula>
    </cfRule>
  </conditionalFormatting>
  <conditionalFormatting sqref="T62 R62 P62">
    <cfRule type="cellIs" dxfId="116" priority="123" operator="lessThan">
      <formula>0</formula>
    </cfRule>
  </conditionalFormatting>
  <conditionalFormatting sqref="G32">
    <cfRule type="cellIs" dxfId="115" priority="121" operator="equal">
      <formula>"*"</formula>
    </cfRule>
  </conditionalFormatting>
  <conditionalFormatting sqref="L32">
    <cfRule type="cellIs" dxfId="114" priority="120" operator="equal">
      <formula>"*"</formula>
    </cfRule>
  </conditionalFormatting>
  <conditionalFormatting sqref="L32">
    <cfRule type="cellIs" dxfId="113" priority="119" operator="lessThanOrEqual">
      <formula>0</formula>
    </cfRule>
  </conditionalFormatting>
  <conditionalFormatting sqref="N32:T32">
    <cfRule type="cellIs" dxfId="112" priority="118" operator="equal">
      <formula>"*"</formula>
    </cfRule>
  </conditionalFormatting>
  <conditionalFormatting sqref="N32:T32">
    <cfRule type="cellIs" dxfId="111" priority="117" operator="lessThanOrEqual">
      <formula>0</formula>
    </cfRule>
  </conditionalFormatting>
  <conditionalFormatting sqref="L36:L41">
    <cfRule type="cellIs" dxfId="110" priority="114" operator="greaterThan">
      <formula>0</formula>
    </cfRule>
    <cfRule type="cellIs" dxfId="109" priority="116" operator="equal">
      <formula>0</formula>
    </cfRule>
  </conditionalFormatting>
  <conditionalFormatting sqref="L38:L41">
    <cfRule type="cellIs" dxfId="108" priority="115" operator="equal">
      <formula>0</formula>
    </cfRule>
  </conditionalFormatting>
  <conditionalFormatting sqref="K36:K42 M36:M42 Q36:Q42 S36:S42 U36:U42 O36:O42">
    <cfRule type="cellIs" dxfId="107" priority="113" operator="lessThanOrEqual">
      <formula>0</formula>
    </cfRule>
  </conditionalFormatting>
  <conditionalFormatting sqref="K37:U42">
    <cfRule type="cellIs" dxfId="106" priority="112" operator="lessThan">
      <formula>0</formula>
    </cfRule>
  </conditionalFormatting>
  <conditionalFormatting sqref="L42">
    <cfRule type="cellIs" dxfId="105" priority="111" operator="equal">
      <formula>"*"</formula>
    </cfRule>
  </conditionalFormatting>
  <conditionalFormatting sqref="L42">
    <cfRule type="cellIs" dxfId="104" priority="110" operator="lessThanOrEqual">
      <formula>0</formula>
    </cfRule>
  </conditionalFormatting>
  <conditionalFormatting sqref="N42:T42">
    <cfRule type="cellIs" dxfId="103" priority="109" operator="equal">
      <formula>"*"</formula>
    </cfRule>
  </conditionalFormatting>
  <conditionalFormatting sqref="N42:T42">
    <cfRule type="cellIs" dxfId="102" priority="108" operator="lessThanOrEqual">
      <formula>0</formula>
    </cfRule>
  </conditionalFormatting>
  <conditionalFormatting sqref="I36">
    <cfRule type="cellIs" dxfId="101" priority="107" operator="equal">
      <formula>"*"</formula>
    </cfRule>
  </conditionalFormatting>
  <conditionalFormatting sqref="I36">
    <cfRule type="cellIs" dxfId="100" priority="106" operator="lessThanOrEqual">
      <formula>0</formula>
    </cfRule>
  </conditionalFormatting>
  <conditionalFormatting sqref="I36:I42">
    <cfRule type="cellIs" dxfId="99" priority="105" operator="lessThanOrEqual">
      <formula>0</formula>
    </cfRule>
  </conditionalFormatting>
  <conditionalFormatting sqref="I37:I42">
    <cfRule type="cellIs" dxfId="98" priority="104" operator="lessThan">
      <formula>0</formula>
    </cfRule>
  </conditionalFormatting>
  <conditionalFormatting sqref="I37:I41">
    <cfRule type="cellIs" dxfId="97" priority="103" operator="equal">
      <formula>"*"</formula>
    </cfRule>
  </conditionalFormatting>
  <conditionalFormatting sqref="I37:I41">
    <cfRule type="cellIs" dxfId="96" priority="102" operator="lessThanOrEqual">
      <formula>0</formula>
    </cfRule>
  </conditionalFormatting>
  <conditionalFormatting sqref="N52 N62">
    <cfRule type="cellIs" dxfId="95" priority="101" operator="lessThan">
      <formula>0</formula>
    </cfRule>
  </conditionalFormatting>
  <conditionalFormatting sqref="T52 R52 P52 T62 R62 P62">
    <cfRule type="cellIs" dxfId="94" priority="100" operator="lessThan">
      <formula>0</formula>
    </cfRule>
  </conditionalFormatting>
  <conditionalFormatting sqref="L46:L51 L56:L61">
    <cfRule type="cellIs" dxfId="93" priority="97" operator="greaterThan">
      <formula>0</formula>
    </cfRule>
    <cfRule type="cellIs" dxfId="92" priority="99" operator="equal">
      <formula>0</formula>
    </cfRule>
  </conditionalFormatting>
  <conditionalFormatting sqref="L48:L51 L58:L61">
    <cfRule type="cellIs" dxfId="91" priority="98" operator="equal">
      <formula>0</formula>
    </cfRule>
  </conditionalFormatting>
  <conditionalFormatting sqref="K46:K52 M46:M52 Q46:Q52 S46:S52 U46:U52 O46:O52 K56:K62 M56:M62 Q56:Q62 S56:S62 U56:U62 O56:O62">
    <cfRule type="cellIs" dxfId="90" priority="96" operator="lessThanOrEqual">
      <formula>0</formula>
    </cfRule>
  </conditionalFormatting>
  <conditionalFormatting sqref="K47:U52 K57:U62">
    <cfRule type="cellIs" dxfId="89" priority="95" operator="lessThan">
      <formula>0</formula>
    </cfRule>
  </conditionalFormatting>
  <conditionalFormatting sqref="L52 L62">
    <cfRule type="cellIs" dxfId="88" priority="94" operator="equal">
      <formula>"*"</formula>
    </cfRule>
  </conditionalFormatting>
  <conditionalFormatting sqref="L52 L62">
    <cfRule type="cellIs" dxfId="87" priority="93" operator="lessThanOrEqual">
      <formula>0</formula>
    </cfRule>
  </conditionalFormatting>
  <conditionalFormatting sqref="N52:T52 N62:T62">
    <cfRule type="cellIs" dxfId="86" priority="92" operator="equal">
      <formula>"*"</formula>
    </cfRule>
  </conditionalFormatting>
  <conditionalFormatting sqref="N52:T52 N62:T62">
    <cfRule type="cellIs" dxfId="85" priority="91" operator="lessThanOrEqual">
      <formula>0</formula>
    </cfRule>
  </conditionalFormatting>
  <conditionalFormatting sqref="L36:L41">
    <cfRule type="cellIs" dxfId="84" priority="88" operator="greaterThan">
      <formula>0</formula>
    </cfRule>
    <cfRule type="cellIs" dxfId="83" priority="90" operator="equal">
      <formula>0</formula>
    </cfRule>
  </conditionalFormatting>
  <conditionalFormatting sqref="L38:L41">
    <cfRule type="cellIs" dxfId="82" priority="89" operator="equal">
      <formula>0</formula>
    </cfRule>
  </conditionalFormatting>
  <conditionalFormatting sqref="I36:K42 M36:M42 Q36:Q42 S36:S42 U36:U42 O36:O42">
    <cfRule type="cellIs" dxfId="81" priority="87" operator="lessThanOrEqual">
      <formula>0</formula>
    </cfRule>
  </conditionalFormatting>
  <conditionalFormatting sqref="G37:U42">
    <cfRule type="cellIs" dxfId="80" priority="86" operator="lessThan">
      <formula>0</formula>
    </cfRule>
  </conditionalFormatting>
  <conditionalFormatting sqref="G42">
    <cfRule type="cellIs" dxfId="79" priority="85" operator="equal">
      <formula>"*"</formula>
    </cfRule>
  </conditionalFormatting>
  <conditionalFormatting sqref="L42">
    <cfRule type="cellIs" dxfId="78" priority="84" operator="equal">
      <formula>"*"</formula>
    </cfRule>
  </conditionalFormatting>
  <conditionalFormatting sqref="L42">
    <cfRule type="cellIs" dxfId="77" priority="83" operator="lessThanOrEqual">
      <formula>0</formula>
    </cfRule>
  </conditionalFormatting>
  <conditionalFormatting sqref="N42:T42">
    <cfRule type="cellIs" dxfId="76" priority="82" operator="equal">
      <formula>"*"</formula>
    </cfRule>
  </conditionalFormatting>
  <conditionalFormatting sqref="N42:T42">
    <cfRule type="cellIs" dxfId="75" priority="81" operator="lessThanOrEqual">
      <formula>0</formula>
    </cfRule>
  </conditionalFormatting>
  <conditionalFormatting sqref="N52">
    <cfRule type="cellIs" dxfId="74" priority="80" operator="lessThan">
      <formula>0</formula>
    </cfRule>
  </conditionalFormatting>
  <conditionalFormatting sqref="T52 R52 P52">
    <cfRule type="cellIs" dxfId="73" priority="79" operator="lessThan">
      <formula>0</formula>
    </cfRule>
  </conditionalFormatting>
  <conditionalFormatting sqref="L46:L51">
    <cfRule type="cellIs" dxfId="72" priority="76" operator="greaterThan">
      <formula>0</formula>
    </cfRule>
    <cfRule type="cellIs" dxfId="71" priority="78" operator="equal">
      <formula>0</formula>
    </cfRule>
  </conditionalFormatting>
  <conditionalFormatting sqref="L48:L51">
    <cfRule type="cellIs" dxfId="70" priority="77" operator="equal">
      <formula>0</formula>
    </cfRule>
  </conditionalFormatting>
  <conditionalFormatting sqref="K46:K52 M46:M52 Q46:Q52 S46:S52 U46:U52 O46:O52">
    <cfRule type="cellIs" dxfId="69" priority="75" operator="lessThanOrEqual">
      <formula>0</formula>
    </cfRule>
  </conditionalFormatting>
  <conditionalFormatting sqref="K47:U52">
    <cfRule type="cellIs" dxfId="68" priority="74" operator="lessThan">
      <formula>0</formula>
    </cfRule>
  </conditionalFormatting>
  <conditionalFormatting sqref="L52">
    <cfRule type="cellIs" dxfId="67" priority="73" operator="equal">
      <formula>"*"</formula>
    </cfRule>
  </conditionalFormatting>
  <conditionalFormatting sqref="L52">
    <cfRule type="cellIs" dxfId="66" priority="72" operator="lessThanOrEqual">
      <formula>0</formula>
    </cfRule>
  </conditionalFormatting>
  <conditionalFormatting sqref="N52:T52">
    <cfRule type="cellIs" dxfId="65" priority="71" operator="equal">
      <formula>"*"</formula>
    </cfRule>
  </conditionalFormatting>
  <conditionalFormatting sqref="N52:T52">
    <cfRule type="cellIs" dxfId="64" priority="70" operator="lessThanOrEqual">
      <formula>0</formula>
    </cfRule>
  </conditionalFormatting>
  <conditionalFormatting sqref="I46">
    <cfRule type="cellIs" dxfId="63" priority="69" operator="equal">
      <formula>"*"</formula>
    </cfRule>
  </conditionalFormatting>
  <conditionalFormatting sqref="I46">
    <cfRule type="cellIs" dxfId="62" priority="68" operator="lessThanOrEqual">
      <formula>0</formula>
    </cfRule>
  </conditionalFormatting>
  <conditionalFormatting sqref="I46:I52">
    <cfRule type="cellIs" dxfId="61" priority="67" operator="lessThanOrEqual">
      <formula>0</formula>
    </cfRule>
  </conditionalFormatting>
  <conditionalFormatting sqref="I47:I52">
    <cfRule type="cellIs" dxfId="60" priority="66" operator="lessThan">
      <formula>0</formula>
    </cfRule>
  </conditionalFormatting>
  <conditionalFormatting sqref="I47:I51">
    <cfRule type="cellIs" dxfId="59" priority="65" operator="equal">
      <formula>"*"</formula>
    </cfRule>
  </conditionalFormatting>
  <conditionalFormatting sqref="I47:I51">
    <cfRule type="cellIs" dxfId="58" priority="64" operator="lessThanOrEqual">
      <formula>0</formula>
    </cfRule>
  </conditionalFormatting>
  <conditionalFormatting sqref="L46:L51">
    <cfRule type="cellIs" dxfId="57" priority="61" operator="greaterThan">
      <formula>0</formula>
    </cfRule>
    <cfRule type="cellIs" dxfId="56" priority="63" operator="equal">
      <formula>0</formula>
    </cfRule>
  </conditionalFormatting>
  <conditionalFormatting sqref="L48:L51">
    <cfRule type="cellIs" dxfId="55" priority="62" operator="equal">
      <formula>0</formula>
    </cfRule>
  </conditionalFormatting>
  <conditionalFormatting sqref="I46:K52 M46:M52 Q46:Q52 S46:S52 U46:U52 O46:O52">
    <cfRule type="cellIs" dxfId="54" priority="60" operator="lessThanOrEqual">
      <formula>0</formula>
    </cfRule>
  </conditionalFormatting>
  <conditionalFormatting sqref="G47:U52">
    <cfRule type="cellIs" dxfId="53" priority="59" operator="lessThan">
      <formula>0</formula>
    </cfRule>
  </conditionalFormatting>
  <conditionalFormatting sqref="G52">
    <cfRule type="cellIs" dxfId="52" priority="58" operator="equal">
      <formula>"*"</formula>
    </cfRule>
  </conditionalFormatting>
  <conditionalFormatting sqref="L52">
    <cfRule type="cellIs" dxfId="51" priority="57" operator="equal">
      <formula>"*"</formula>
    </cfRule>
  </conditionalFormatting>
  <conditionalFormatting sqref="L52">
    <cfRule type="cellIs" dxfId="50" priority="56" operator="lessThanOrEqual">
      <formula>0</formula>
    </cfRule>
  </conditionalFormatting>
  <conditionalFormatting sqref="N52:T52">
    <cfRule type="cellIs" dxfId="49" priority="55" operator="equal">
      <formula>"*"</formula>
    </cfRule>
  </conditionalFormatting>
  <conditionalFormatting sqref="N52:T52">
    <cfRule type="cellIs" dxfId="48" priority="54" operator="lessThanOrEqual">
      <formula>0</formula>
    </cfRule>
  </conditionalFormatting>
  <conditionalFormatting sqref="N62">
    <cfRule type="cellIs" dxfId="47" priority="53" operator="lessThan">
      <formula>0</formula>
    </cfRule>
  </conditionalFormatting>
  <conditionalFormatting sqref="O62:Q62">
    <cfRule type="cellIs" dxfId="46" priority="52" operator="lessThan">
      <formula>0</formula>
    </cfRule>
  </conditionalFormatting>
  <conditionalFormatting sqref="N62">
    <cfRule type="cellIs" dxfId="45" priority="51" operator="lessThan">
      <formula>0</formula>
    </cfRule>
  </conditionalFormatting>
  <conditionalFormatting sqref="T62 R62 P62">
    <cfRule type="cellIs" dxfId="44" priority="50" operator="lessThan">
      <formula>0</formula>
    </cfRule>
  </conditionalFormatting>
  <conditionalFormatting sqref="T62 R62 P62">
    <cfRule type="cellIs" dxfId="43" priority="49" operator="lessThan">
      <formula>0</formula>
    </cfRule>
  </conditionalFormatting>
  <conditionalFormatting sqref="N62">
    <cfRule type="cellIs" dxfId="42" priority="48" operator="lessThan">
      <formula>0</formula>
    </cfRule>
  </conditionalFormatting>
  <conditionalFormatting sqref="T62 R62 P62">
    <cfRule type="cellIs" dxfId="41" priority="47" operator="lessThan">
      <formula>0</formula>
    </cfRule>
  </conditionalFormatting>
  <conditionalFormatting sqref="L56:L61">
    <cfRule type="cellIs" dxfId="40" priority="44" operator="greaterThan">
      <formula>0</formula>
    </cfRule>
    <cfRule type="cellIs" dxfId="39" priority="46" operator="equal">
      <formula>0</formula>
    </cfRule>
  </conditionalFormatting>
  <conditionalFormatting sqref="L58:L61">
    <cfRule type="cellIs" dxfId="38" priority="45" operator="equal">
      <formula>0</formula>
    </cfRule>
  </conditionalFormatting>
  <conditionalFormatting sqref="K56:K62 M56:M62 Q56:Q62 S56:S62 U56:U62 O56:O62">
    <cfRule type="cellIs" dxfId="37" priority="43" operator="lessThanOrEqual">
      <formula>0</formula>
    </cfRule>
  </conditionalFormatting>
  <conditionalFormatting sqref="K57:U62">
    <cfRule type="cellIs" dxfId="36" priority="42" operator="lessThan">
      <formula>0</formula>
    </cfRule>
  </conditionalFormatting>
  <conditionalFormatting sqref="L62">
    <cfRule type="cellIs" dxfId="35" priority="41" operator="equal">
      <formula>"*"</formula>
    </cfRule>
  </conditionalFormatting>
  <conditionalFormatting sqref="L62">
    <cfRule type="cellIs" dxfId="34" priority="40" operator="lessThanOrEqual">
      <formula>0</formula>
    </cfRule>
  </conditionalFormatting>
  <conditionalFormatting sqref="N62:T62">
    <cfRule type="cellIs" dxfId="33" priority="39" operator="equal">
      <formula>"*"</formula>
    </cfRule>
  </conditionalFormatting>
  <conditionalFormatting sqref="N62:T62">
    <cfRule type="cellIs" dxfId="32" priority="38" operator="lessThanOrEqual">
      <formula>0</formula>
    </cfRule>
  </conditionalFormatting>
  <conditionalFormatting sqref="I56">
    <cfRule type="cellIs" dxfId="31" priority="37" operator="equal">
      <formula>"*"</formula>
    </cfRule>
  </conditionalFormatting>
  <conditionalFormatting sqref="I56">
    <cfRule type="cellIs" dxfId="30" priority="36" operator="lessThanOrEqual">
      <formula>0</formula>
    </cfRule>
  </conditionalFormatting>
  <conditionalFormatting sqref="I56:I62">
    <cfRule type="cellIs" dxfId="29" priority="35" operator="lessThanOrEqual">
      <formula>0</formula>
    </cfRule>
  </conditionalFormatting>
  <conditionalFormatting sqref="I57:I62">
    <cfRule type="cellIs" dxfId="28" priority="34" operator="lessThan">
      <formula>0</formula>
    </cfRule>
  </conditionalFormatting>
  <conditionalFormatting sqref="I57:I61">
    <cfRule type="cellIs" dxfId="27" priority="33" operator="equal">
      <formula>"*"</formula>
    </cfRule>
  </conditionalFormatting>
  <conditionalFormatting sqref="I57:I61">
    <cfRule type="cellIs" dxfId="26" priority="32" operator="lessThanOrEqual">
      <formula>0</formula>
    </cfRule>
  </conditionalFormatting>
  <conditionalFormatting sqref="L56:L61">
    <cfRule type="cellIs" dxfId="25" priority="29" operator="greaterThan">
      <formula>0</formula>
    </cfRule>
    <cfRule type="cellIs" dxfId="24" priority="31" operator="equal">
      <formula>0</formula>
    </cfRule>
  </conditionalFormatting>
  <conditionalFormatting sqref="L58:L61">
    <cfRule type="cellIs" dxfId="23" priority="30" operator="equal">
      <formula>0</formula>
    </cfRule>
  </conditionalFormatting>
  <conditionalFormatting sqref="I56:K62 M56:M62 Q56:Q62 S56:S62 U56:U62 O56:O62">
    <cfRule type="cellIs" dxfId="22" priority="28" operator="lessThanOrEqual">
      <formula>0</formula>
    </cfRule>
  </conditionalFormatting>
  <conditionalFormatting sqref="G57:U62">
    <cfRule type="cellIs" dxfId="21" priority="27" operator="lessThan">
      <formula>0</formula>
    </cfRule>
  </conditionalFormatting>
  <conditionalFormatting sqref="G62">
    <cfRule type="cellIs" dxfId="20" priority="26" operator="equal">
      <formula>"*"</formula>
    </cfRule>
  </conditionalFormatting>
  <conditionalFormatting sqref="L62">
    <cfRule type="cellIs" dxfId="19" priority="25" operator="equal">
      <formula>"*"</formula>
    </cfRule>
  </conditionalFormatting>
  <conditionalFormatting sqref="L62">
    <cfRule type="cellIs" dxfId="18" priority="24" operator="lessThanOrEqual">
      <formula>0</formula>
    </cfRule>
  </conditionalFormatting>
  <conditionalFormatting sqref="N62:T62">
    <cfRule type="cellIs" dxfId="17" priority="23" operator="equal">
      <formula>"*"</formula>
    </cfRule>
  </conditionalFormatting>
  <conditionalFormatting sqref="N62:T62">
    <cfRule type="cellIs" dxfId="16" priority="22" operator="lessThanOrEqual">
      <formula>0</formula>
    </cfRule>
  </conditionalFormatting>
  <conditionalFormatting sqref="D11:L13 D16:L16">
    <cfRule type="cellIs" dxfId="15" priority="16" operator="greaterThan">
      <formula>0</formula>
    </cfRule>
  </conditionalFormatting>
  <conditionalFormatting sqref="D11:L12">
    <cfRule type="cellIs" dxfId="14" priority="15" operator="lessThan">
      <formula>0</formula>
    </cfRule>
  </conditionalFormatting>
  <conditionalFormatting sqref="D11:L13 D16:L16">
    <cfRule type="cellIs" dxfId="13" priority="14" operator="equal">
      <formula>"*"</formula>
    </cfRule>
  </conditionalFormatting>
  <conditionalFormatting sqref="D18:L20">
    <cfRule type="cellIs" dxfId="12" priority="13" operator="greaterThan">
      <formula>0</formula>
    </cfRule>
  </conditionalFormatting>
  <conditionalFormatting sqref="D18:L19">
    <cfRule type="cellIs" dxfId="11" priority="12" operator="lessThan">
      <formula>0</formula>
    </cfRule>
  </conditionalFormatting>
  <conditionalFormatting sqref="D18:L20">
    <cfRule type="cellIs" dxfId="10" priority="11" operator="equal">
      <formula>"*"</formula>
    </cfRule>
  </conditionalFormatting>
  <conditionalFormatting sqref="D14:L14">
    <cfRule type="iconSet" priority="10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4:L14">
    <cfRule type="iconSet" priority="9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4:L14">
    <cfRule type="iconSet" priority="8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4:L14">
    <cfRule type="iconSet" priority="7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4:L14">
    <cfRule type="iconSet" priority="6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:I21">
    <cfRule type="iconSet" priority="5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:I21">
    <cfRule type="iconSet" priority="4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:I21">
    <cfRule type="iconSet" priority="3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:I21">
    <cfRule type="iconSet" priority="2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21:I21">
    <cfRule type="iconSet" priority="1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dataValidations disablePrompts="1" count="1">
    <dataValidation allowBlank="1" showInputMessage="1" showErrorMessage="1" prompt="SELECT A PRODUCT" sqref="C22:C23 D23:E23" xr:uid="{00000000-0002-0000-0500-000000000000}"/>
  </dataValidations>
  <printOptions horizontalCentered="1"/>
  <pageMargins left="0.3" right="0.3" top="1" bottom="0.5" header="0.25" footer="0.25"/>
  <pageSetup scale="60" fitToHeight="2" orientation="landscape" r:id="rId1"/>
  <headerFooter>
    <oddHeader>&amp;L&amp;G&amp;C&amp;"Arial,Bold"&amp;24&amp;A&amp;R&amp;"Arial,Bold"&amp;9page &amp;P of &amp;N</oddHeader>
  </headerFooter>
  <rowBreaks count="1" manualBreakCount="1">
    <brk id="42" min="2" max="20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89"/>
  <sheetViews>
    <sheetView workbookViewId="0"/>
  </sheetViews>
  <sheetFormatPr defaultColWidth="6.7109375" defaultRowHeight="15"/>
  <cols>
    <col min="1" max="1" width="8.42578125" style="138" customWidth="1"/>
    <col min="2" max="2" width="3.7109375" style="138" customWidth="1"/>
    <col min="3" max="21" width="9.7109375" style="138" customWidth="1"/>
    <col min="22" max="22" width="23.85546875" style="138" hidden="1" customWidth="1"/>
    <col min="23" max="32" width="10.7109375" style="138" customWidth="1"/>
    <col min="33" max="262" width="6.7109375" style="138"/>
    <col min="263" max="265" width="10.7109375" style="138" customWidth="1"/>
    <col min="266" max="266" width="6.7109375" style="138" customWidth="1"/>
    <col min="267" max="270" width="10.7109375" style="138" customWidth="1"/>
    <col min="271" max="271" width="3.7109375" style="138" customWidth="1"/>
    <col min="272" max="279" width="10.7109375" style="138" customWidth="1"/>
    <col min="280" max="518" width="6.7109375" style="138"/>
    <col min="519" max="521" width="10.7109375" style="138" customWidth="1"/>
    <col min="522" max="522" width="6.7109375" style="138" customWidth="1"/>
    <col min="523" max="526" width="10.7109375" style="138" customWidth="1"/>
    <col min="527" max="527" width="3.7109375" style="138" customWidth="1"/>
    <col min="528" max="535" width="10.7109375" style="138" customWidth="1"/>
    <col min="536" max="774" width="6.7109375" style="138"/>
    <col min="775" max="777" width="10.7109375" style="138" customWidth="1"/>
    <col min="778" max="778" width="6.7109375" style="138" customWidth="1"/>
    <col min="779" max="782" width="10.7109375" style="138" customWidth="1"/>
    <col min="783" max="783" width="3.7109375" style="138" customWidth="1"/>
    <col min="784" max="791" width="10.7109375" style="138" customWidth="1"/>
    <col min="792" max="1030" width="6.7109375" style="138"/>
    <col min="1031" max="1033" width="10.7109375" style="138" customWidth="1"/>
    <col min="1034" max="1034" width="6.7109375" style="138" customWidth="1"/>
    <col min="1035" max="1038" width="10.7109375" style="138" customWidth="1"/>
    <col min="1039" max="1039" width="3.7109375" style="138" customWidth="1"/>
    <col min="1040" max="1047" width="10.7109375" style="138" customWidth="1"/>
    <col min="1048" max="1286" width="6.7109375" style="138"/>
    <col min="1287" max="1289" width="10.7109375" style="138" customWidth="1"/>
    <col min="1290" max="1290" width="6.7109375" style="138" customWidth="1"/>
    <col min="1291" max="1294" width="10.7109375" style="138" customWidth="1"/>
    <col min="1295" max="1295" width="3.7109375" style="138" customWidth="1"/>
    <col min="1296" max="1303" width="10.7109375" style="138" customWidth="1"/>
    <col min="1304" max="1542" width="6.7109375" style="138"/>
    <col min="1543" max="1545" width="10.7109375" style="138" customWidth="1"/>
    <col min="1546" max="1546" width="6.7109375" style="138" customWidth="1"/>
    <col min="1547" max="1550" width="10.7109375" style="138" customWidth="1"/>
    <col min="1551" max="1551" width="3.7109375" style="138" customWidth="1"/>
    <col min="1552" max="1559" width="10.7109375" style="138" customWidth="1"/>
    <col min="1560" max="1798" width="6.7109375" style="138"/>
    <col min="1799" max="1801" width="10.7109375" style="138" customWidth="1"/>
    <col min="1802" max="1802" width="6.7109375" style="138" customWidth="1"/>
    <col min="1803" max="1806" width="10.7109375" style="138" customWidth="1"/>
    <col min="1807" max="1807" width="3.7109375" style="138" customWidth="1"/>
    <col min="1808" max="1815" width="10.7109375" style="138" customWidth="1"/>
    <col min="1816" max="2054" width="6.7109375" style="138"/>
    <col min="2055" max="2057" width="10.7109375" style="138" customWidth="1"/>
    <col min="2058" max="2058" width="6.7109375" style="138" customWidth="1"/>
    <col min="2059" max="2062" width="10.7109375" style="138" customWidth="1"/>
    <col min="2063" max="2063" width="3.7109375" style="138" customWidth="1"/>
    <col min="2064" max="2071" width="10.7109375" style="138" customWidth="1"/>
    <col min="2072" max="2310" width="6.7109375" style="138"/>
    <col min="2311" max="2313" width="10.7109375" style="138" customWidth="1"/>
    <col min="2314" max="2314" width="6.7109375" style="138" customWidth="1"/>
    <col min="2315" max="2318" width="10.7109375" style="138" customWidth="1"/>
    <col min="2319" max="2319" width="3.7109375" style="138" customWidth="1"/>
    <col min="2320" max="2327" width="10.7109375" style="138" customWidth="1"/>
    <col min="2328" max="2566" width="6.7109375" style="138"/>
    <col min="2567" max="2569" width="10.7109375" style="138" customWidth="1"/>
    <col min="2570" max="2570" width="6.7109375" style="138" customWidth="1"/>
    <col min="2571" max="2574" width="10.7109375" style="138" customWidth="1"/>
    <col min="2575" max="2575" width="3.7109375" style="138" customWidth="1"/>
    <col min="2576" max="2583" width="10.7109375" style="138" customWidth="1"/>
    <col min="2584" max="2822" width="6.7109375" style="138"/>
    <col min="2823" max="2825" width="10.7109375" style="138" customWidth="1"/>
    <col min="2826" max="2826" width="6.7109375" style="138" customWidth="1"/>
    <col min="2827" max="2830" width="10.7109375" style="138" customWidth="1"/>
    <col min="2831" max="2831" width="3.7109375" style="138" customWidth="1"/>
    <col min="2832" max="2839" width="10.7109375" style="138" customWidth="1"/>
    <col min="2840" max="3078" width="6.7109375" style="138"/>
    <col min="3079" max="3081" width="10.7109375" style="138" customWidth="1"/>
    <col min="3082" max="3082" width="6.7109375" style="138" customWidth="1"/>
    <col min="3083" max="3086" width="10.7109375" style="138" customWidth="1"/>
    <col min="3087" max="3087" width="3.7109375" style="138" customWidth="1"/>
    <col min="3088" max="3095" width="10.7109375" style="138" customWidth="1"/>
    <col min="3096" max="3334" width="6.7109375" style="138"/>
    <col min="3335" max="3337" width="10.7109375" style="138" customWidth="1"/>
    <col min="3338" max="3338" width="6.7109375" style="138" customWidth="1"/>
    <col min="3339" max="3342" width="10.7109375" style="138" customWidth="1"/>
    <col min="3343" max="3343" width="3.7109375" style="138" customWidth="1"/>
    <col min="3344" max="3351" width="10.7109375" style="138" customWidth="1"/>
    <col min="3352" max="3590" width="6.7109375" style="138"/>
    <col min="3591" max="3593" width="10.7109375" style="138" customWidth="1"/>
    <col min="3594" max="3594" width="6.7109375" style="138" customWidth="1"/>
    <col min="3595" max="3598" width="10.7109375" style="138" customWidth="1"/>
    <col min="3599" max="3599" width="3.7109375" style="138" customWidth="1"/>
    <col min="3600" max="3607" width="10.7109375" style="138" customWidth="1"/>
    <col min="3608" max="3846" width="6.7109375" style="138"/>
    <col min="3847" max="3849" width="10.7109375" style="138" customWidth="1"/>
    <col min="3850" max="3850" width="6.7109375" style="138" customWidth="1"/>
    <col min="3851" max="3854" width="10.7109375" style="138" customWidth="1"/>
    <col min="3855" max="3855" width="3.7109375" style="138" customWidth="1"/>
    <col min="3856" max="3863" width="10.7109375" style="138" customWidth="1"/>
    <col min="3864" max="4102" width="6.7109375" style="138"/>
    <col min="4103" max="4105" width="10.7109375" style="138" customWidth="1"/>
    <col min="4106" max="4106" width="6.7109375" style="138" customWidth="1"/>
    <col min="4107" max="4110" width="10.7109375" style="138" customWidth="1"/>
    <col min="4111" max="4111" width="3.7109375" style="138" customWidth="1"/>
    <col min="4112" max="4119" width="10.7109375" style="138" customWidth="1"/>
    <col min="4120" max="4358" width="6.7109375" style="138"/>
    <col min="4359" max="4361" width="10.7109375" style="138" customWidth="1"/>
    <col min="4362" max="4362" width="6.7109375" style="138" customWidth="1"/>
    <col min="4363" max="4366" width="10.7109375" style="138" customWidth="1"/>
    <col min="4367" max="4367" width="3.7109375" style="138" customWidth="1"/>
    <col min="4368" max="4375" width="10.7109375" style="138" customWidth="1"/>
    <col min="4376" max="4614" width="6.7109375" style="138"/>
    <col min="4615" max="4617" width="10.7109375" style="138" customWidth="1"/>
    <col min="4618" max="4618" width="6.7109375" style="138" customWidth="1"/>
    <col min="4619" max="4622" width="10.7109375" style="138" customWidth="1"/>
    <col min="4623" max="4623" width="3.7109375" style="138" customWidth="1"/>
    <col min="4624" max="4631" width="10.7109375" style="138" customWidth="1"/>
    <col min="4632" max="4870" width="6.7109375" style="138"/>
    <col min="4871" max="4873" width="10.7109375" style="138" customWidth="1"/>
    <col min="4874" max="4874" width="6.7109375" style="138" customWidth="1"/>
    <col min="4875" max="4878" width="10.7109375" style="138" customWidth="1"/>
    <col min="4879" max="4879" width="3.7109375" style="138" customWidth="1"/>
    <col min="4880" max="4887" width="10.7109375" style="138" customWidth="1"/>
    <col min="4888" max="5126" width="6.7109375" style="138"/>
    <col min="5127" max="5129" width="10.7109375" style="138" customWidth="1"/>
    <col min="5130" max="5130" width="6.7109375" style="138" customWidth="1"/>
    <col min="5131" max="5134" width="10.7109375" style="138" customWidth="1"/>
    <col min="5135" max="5135" width="3.7109375" style="138" customWidth="1"/>
    <col min="5136" max="5143" width="10.7109375" style="138" customWidth="1"/>
    <col min="5144" max="5382" width="6.7109375" style="138"/>
    <col min="5383" max="5385" width="10.7109375" style="138" customWidth="1"/>
    <col min="5386" max="5386" width="6.7109375" style="138" customWidth="1"/>
    <col min="5387" max="5390" width="10.7109375" style="138" customWidth="1"/>
    <col min="5391" max="5391" width="3.7109375" style="138" customWidth="1"/>
    <col min="5392" max="5399" width="10.7109375" style="138" customWidth="1"/>
    <col min="5400" max="5638" width="6.7109375" style="138"/>
    <col min="5639" max="5641" width="10.7109375" style="138" customWidth="1"/>
    <col min="5642" max="5642" width="6.7109375" style="138" customWidth="1"/>
    <col min="5643" max="5646" width="10.7109375" style="138" customWidth="1"/>
    <col min="5647" max="5647" width="3.7109375" style="138" customWidth="1"/>
    <col min="5648" max="5655" width="10.7109375" style="138" customWidth="1"/>
    <col min="5656" max="5894" width="6.7109375" style="138"/>
    <col min="5895" max="5897" width="10.7109375" style="138" customWidth="1"/>
    <col min="5898" max="5898" width="6.7109375" style="138" customWidth="1"/>
    <col min="5899" max="5902" width="10.7109375" style="138" customWidth="1"/>
    <col min="5903" max="5903" width="3.7109375" style="138" customWidth="1"/>
    <col min="5904" max="5911" width="10.7109375" style="138" customWidth="1"/>
    <col min="5912" max="6150" width="6.7109375" style="138"/>
    <col min="6151" max="6153" width="10.7109375" style="138" customWidth="1"/>
    <col min="6154" max="6154" width="6.7109375" style="138" customWidth="1"/>
    <col min="6155" max="6158" width="10.7109375" style="138" customWidth="1"/>
    <col min="6159" max="6159" width="3.7109375" style="138" customWidth="1"/>
    <col min="6160" max="6167" width="10.7109375" style="138" customWidth="1"/>
    <col min="6168" max="6406" width="6.7109375" style="138"/>
    <col min="6407" max="6409" width="10.7109375" style="138" customWidth="1"/>
    <col min="6410" max="6410" width="6.7109375" style="138" customWidth="1"/>
    <col min="6411" max="6414" width="10.7109375" style="138" customWidth="1"/>
    <col min="6415" max="6415" width="3.7109375" style="138" customWidth="1"/>
    <col min="6416" max="6423" width="10.7109375" style="138" customWidth="1"/>
    <col min="6424" max="6662" width="6.7109375" style="138"/>
    <col min="6663" max="6665" width="10.7109375" style="138" customWidth="1"/>
    <col min="6666" max="6666" width="6.7109375" style="138" customWidth="1"/>
    <col min="6667" max="6670" width="10.7109375" style="138" customWidth="1"/>
    <col min="6671" max="6671" width="3.7109375" style="138" customWidth="1"/>
    <col min="6672" max="6679" width="10.7109375" style="138" customWidth="1"/>
    <col min="6680" max="6918" width="6.7109375" style="138"/>
    <col min="6919" max="6921" width="10.7109375" style="138" customWidth="1"/>
    <col min="6922" max="6922" width="6.7109375" style="138" customWidth="1"/>
    <col min="6923" max="6926" width="10.7109375" style="138" customWidth="1"/>
    <col min="6927" max="6927" width="3.7109375" style="138" customWidth="1"/>
    <col min="6928" max="6935" width="10.7109375" style="138" customWidth="1"/>
    <col min="6936" max="7174" width="6.7109375" style="138"/>
    <col min="7175" max="7177" width="10.7109375" style="138" customWidth="1"/>
    <col min="7178" max="7178" width="6.7109375" style="138" customWidth="1"/>
    <col min="7179" max="7182" width="10.7109375" style="138" customWidth="1"/>
    <col min="7183" max="7183" width="3.7109375" style="138" customWidth="1"/>
    <col min="7184" max="7191" width="10.7109375" style="138" customWidth="1"/>
    <col min="7192" max="7430" width="6.7109375" style="138"/>
    <col min="7431" max="7433" width="10.7109375" style="138" customWidth="1"/>
    <col min="7434" max="7434" width="6.7109375" style="138" customWidth="1"/>
    <col min="7435" max="7438" width="10.7109375" style="138" customWidth="1"/>
    <col min="7439" max="7439" width="3.7109375" style="138" customWidth="1"/>
    <col min="7440" max="7447" width="10.7109375" style="138" customWidth="1"/>
    <col min="7448" max="7686" width="6.7109375" style="138"/>
    <col min="7687" max="7689" width="10.7109375" style="138" customWidth="1"/>
    <col min="7690" max="7690" width="6.7109375" style="138" customWidth="1"/>
    <col min="7691" max="7694" width="10.7109375" style="138" customWidth="1"/>
    <col min="7695" max="7695" width="3.7109375" style="138" customWidth="1"/>
    <col min="7696" max="7703" width="10.7109375" style="138" customWidth="1"/>
    <col min="7704" max="7942" width="6.7109375" style="138"/>
    <col min="7943" max="7945" width="10.7109375" style="138" customWidth="1"/>
    <col min="7946" max="7946" width="6.7109375" style="138" customWidth="1"/>
    <col min="7947" max="7950" width="10.7109375" style="138" customWidth="1"/>
    <col min="7951" max="7951" width="3.7109375" style="138" customWidth="1"/>
    <col min="7952" max="7959" width="10.7109375" style="138" customWidth="1"/>
    <col min="7960" max="8198" width="6.7109375" style="138"/>
    <col min="8199" max="8201" width="10.7109375" style="138" customWidth="1"/>
    <col min="8202" max="8202" width="6.7109375" style="138" customWidth="1"/>
    <col min="8203" max="8206" width="10.7109375" style="138" customWidth="1"/>
    <col min="8207" max="8207" width="3.7109375" style="138" customWidth="1"/>
    <col min="8208" max="8215" width="10.7109375" style="138" customWidth="1"/>
    <col min="8216" max="8454" width="6.7109375" style="138"/>
    <col min="8455" max="8457" width="10.7109375" style="138" customWidth="1"/>
    <col min="8458" max="8458" width="6.7109375" style="138" customWidth="1"/>
    <col min="8459" max="8462" width="10.7109375" style="138" customWidth="1"/>
    <col min="8463" max="8463" width="3.7109375" style="138" customWidth="1"/>
    <col min="8464" max="8471" width="10.7109375" style="138" customWidth="1"/>
    <col min="8472" max="8710" width="6.7109375" style="138"/>
    <col min="8711" max="8713" width="10.7109375" style="138" customWidth="1"/>
    <col min="8714" max="8714" width="6.7109375" style="138" customWidth="1"/>
    <col min="8715" max="8718" width="10.7109375" style="138" customWidth="1"/>
    <col min="8719" max="8719" width="3.7109375" style="138" customWidth="1"/>
    <col min="8720" max="8727" width="10.7109375" style="138" customWidth="1"/>
    <col min="8728" max="8966" width="6.7109375" style="138"/>
    <col min="8967" max="8969" width="10.7109375" style="138" customWidth="1"/>
    <col min="8970" max="8970" width="6.7109375" style="138" customWidth="1"/>
    <col min="8971" max="8974" width="10.7109375" style="138" customWidth="1"/>
    <col min="8975" max="8975" width="3.7109375" style="138" customWidth="1"/>
    <col min="8976" max="8983" width="10.7109375" style="138" customWidth="1"/>
    <col min="8984" max="9222" width="6.7109375" style="138"/>
    <col min="9223" max="9225" width="10.7109375" style="138" customWidth="1"/>
    <col min="9226" max="9226" width="6.7109375" style="138" customWidth="1"/>
    <col min="9227" max="9230" width="10.7109375" style="138" customWidth="1"/>
    <col min="9231" max="9231" width="3.7109375" style="138" customWidth="1"/>
    <col min="9232" max="9239" width="10.7109375" style="138" customWidth="1"/>
    <col min="9240" max="9478" width="6.7109375" style="138"/>
    <col min="9479" max="9481" width="10.7109375" style="138" customWidth="1"/>
    <col min="9482" max="9482" width="6.7109375" style="138" customWidth="1"/>
    <col min="9483" max="9486" width="10.7109375" style="138" customWidth="1"/>
    <col min="9487" max="9487" width="3.7109375" style="138" customWidth="1"/>
    <col min="9488" max="9495" width="10.7109375" style="138" customWidth="1"/>
    <col min="9496" max="9734" width="6.7109375" style="138"/>
    <col min="9735" max="9737" width="10.7109375" style="138" customWidth="1"/>
    <col min="9738" max="9738" width="6.7109375" style="138" customWidth="1"/>
    <col min="9739" max="9742" width="10.7109375" style="138" customWidth="1"/>
    <col min="9743" max="9743" width="3.7109375" style="138" customWidth="1"/>
    <col min="9744" max="9751" width="10.7109375" style="138" customWidth="1"/>
    <col min="9752" max="9990" width="6.7109375" style="138"/>
    <col min="9991" max="9993" width="10.7109375" style="138" customWidth="1"/>
    <col min="9994" max="9994" width="6.7109375" style="138" customWidth="1"/>
    <col min="9995" max="9998" width="10.7109375" style="138" customWidth="1"/>
    <col min="9999" max="9999" width="3.7109375" style="138" customWidth="1"/>
    <col min="10000" max="10007" width="10.7109375" style="138" customWidth="1"/>
    <col min="10008" max="10246" width="6.7109375" style="138"/>
    <col min="10247" max="10249" width="10.7109375" style="138" customWidth="1"/>
    <col min="10250" max="10250" width="6.7109375" style="138" customWidth="1"/>
    <col min="10251" max="10254" width="10.7109375" style="138" customWidth="1"/>
    <col min="10255" max="10255" width="3.7109375" style="138" customWidth="1"/>
    <col min="10256" max="10263" width="10.7109375" style="138" customWidth="1"/>
    <col min="10264" max="10502" width="6.7109375" style="138"/>
    <col min="10503" max="10505" width="10.7109375" style="138" customWidth="1"/>
    <col min="10506" max="10506" width="6.7109375" style="138" customWidth="1"/>
    <col min="10507" max="10510" width="10.7109375" style="138" customWidth="1"/>
    <col min="10511" max="10511" width="3.7109375" style="138" customWidth="1"/>
    <col min="10512" max="10519" width="10.7109375" style="138" customWidth="1"/>
    <col min="10520" max="10758" width="6.7109375" style="138"/>
    <col min="10759" max="10761" width="10.7109375" style="138" customWidth="1"/>
    <col min="10762" max="10762" width="6.7109375" style="138" customWidth="1"/>
    <col min="10763" max="10766" width="10.7109375" style="138" customWidth="1"/>
    <col min="10767" max="10767" width="3.7109375" style="138" customWidth="1"/>
    <col min="10768" max="10775" width="10.7109375" style="138" customWidth="1"/>
    <col min="10776" max="11014" width="6.7109375" style="138"/>
    <col min="11015" max="11017" width="10.7109375" style="138" customWidth="1"/>
    <col min="11018" max="11018" width="6.7109375" style="138" customWidth="1"/>
    <col min="11019" max="11022" width="10.7109375" style="138" customWidth="1"/>
    <col min="11023" max="11023" width="3.7109375" style="138" customWidth="1"/>
    <col min="11024" max="11031" width="10.7109375" style="138" customWidth="1"/>
    <col min="11032" max="11270" width="6.7109375" style="138"/>
    <col min="11271" max="11273" width="10.7109375" style="138" customWidth="1"/>
    <col min="11274" max="11274" width="6.7109375" style="138" customWidth="1"/>
    <col min="11275" max="11278" width="10.7109375" style="138" customWidth="1"/>
    <col min="11279" max="11279" width="3.7109375" style="138" customWidth="1"/>
    <col min="11280" max="11287" width="10.7109375" style="138" customWidth="1"/>
    <col min="11288" max="11526" width="6.7109375" style="138"/>
    <col min="11527" max="11529" width="10.7109375" style="138" customWidth="1"/>
    <col min="11530" max="11530" width="6.7109375" style="138" customWidth="1"/>
    <col min="11531" max="11534" width="10.7109375" style="138" customWidth="1"/>
    <col min="11535" max="11535" width="3.7109375" style="138" customWidth="1"/>
    <col min="11536" max="11543" width="10.7109375" style="138" customWidth="1"/>
    <col min="11544" max="11782" width="6.7109375" style="138"/>
    <col min="11783" max="11785" width="10.7109375" style="138" customWidth="1"/>
    <col min="11786" max="11786" width="6.7109375" style="138" customWidth="1"/>
    <col min="11787" max="11790" width="10.7109375" style="138" customWidth="1"/>
    <col min="11791" max="11791" width="3.7109375" style="138" customWidth="1"/>
    <col min="11792" max="11799" width="10.7109375" style="138" customWidth="1"/>
    <col min="11800" max="12038" width="6.7109375" style="138"/>
    <col min="12039" max="12041" width="10.7109375" style="138" customWidth="1"/>
    <col min="12042" max="12042" width="6.7109375" style="138" customWidth="1"/>
    <col min="12043" max="12046" width="10.7109375" style="138" customWidth="1"/>
    <col min="12047" max="12047" width="3.7109375" style="138" customWidth="1"/>
    <col min="12048" max="12055" width="10.7109375" style="138" customWidth="1"/>
    <col min="12056" max="12294" width="6.7109375" style="138"/>
    <col min="12295" max="12297" width="10.7109375" style="138" customWidth="1"/>
    <col min="12298" max="12298" width="6.7109375" style="138" customWidth="1"/>
    <col min="12299" max="12302" width="10.7109375" style="138" customWidth="1"/>
    <col min="12303" max="12303" width="3.7109375" style="138" customWidth="1"/>
    <col min="12304" max="12311" width="10.7109375" style="138" customWidth="1"/>
    <col min="12312" max="12550" width="6.7109375" style="138"/>
    <col min="12551" max="12553" width="10.7109375" style="138" customWidth="1"/>
    <col min="12554" max="12554" width="6.7109375" style="138" customWidth="1"/>
    <col min="12555" max="12558" width="10.7109375" style="138" customWidth="1"/>
    <col min="12559" max="12559" width="3.7109375" style="138" customWidth="1"/>
    <col min="12560" max="12567" width="10.7109375" style="138" customWidth="1"/>
    <col min="12568" max="12806" width="6.7109375" style="138"/>
    <col min="12807" max="12809" width="10.7109375" style="138" customWidth="1"/>
    <col min="12810" max="12810" width="6.7109375" style="138" customWidth="1"/>
    <col min="12811" max="12814" width="10.7109375" style="138" customWidth="1"/>
    <col min="12815" max="12815" width="3.7109375" style="138" customWidth="1"/>
    <col min="12816" max="12823" width="10.7109375" style="138" customWidth="1"/>
    <col min="12824" max="13062" width="6.7109375" style="138"/>
    <col min="13063" max="13065" width="10.7109375" style="138" customWidth="1"/>
    <col min="13066" max="13066" width="6.7109375" style="138" customWidth="1"/>
    <col min="13067" max="13070" width="10.7109375" style="138" customWidth="1"/>
    <col min="13071" max="13071" width="3.7109375" style="138" customWidth="1"/>
    <col min="13072" max="13079" width="10.7109375" style="138" customWidth="1"/>
    <col min="13080" max="13318" width="6.7109375" style="138"/>
    <col min="13319" max="13321" width="10.7109375" style="138" customWidth="1"/>
    <col min="13322" max="13322" width="6.7109375" style="138" customWidth="1"/>
    <col min="13323" max="13326" width="10.7109375" style="138" customWidth="1"/>
    <col min="13327" max="13327" width="3.7109375" style="138" customWidth="1"/>
    <col min="13328" max="13335" width="10.7109375" style="138" customWidth="1"/>
    <col min="13336" max="13574" width="6.7109375" style="138"/>
    <col min="13575" max="13577" width="10.7109375" style="138" customWidth="1"/>
    <col min="13578" max="13578" width="6.7109375" style="138" customWidth="1"/>
    <col min="13579" max="13582" width="10.7109375" style="138" customWidth="1"/>
    <col min="13583" max="13583" width="3.7109375" style="138" customWidth="1"/>
    <col min="13584" max="13591" width="10.7109375" style="138" customWidth="1"/>
    <col min="13592" max="13830" width="6.7109375" style="138"/>
    <col min="13831" max="13833" width="10.7109375" style="138" customWidth="1"/>
    <col min="13834" max="13834" width="6.7109375" style="138" customWidth="1"/>
    <col min="13835" max="13838" width="10.7109375" style="138" customWidth="1"/>
    <col min="13839" max="13839" width="3.7109375" style="138" customWidth="1"/>
    <col min="13840" max="13847" width="10.7109375" style="138" customWidth="1"/>
    <col min="13848" max="14086" width="6.7109375" style="138"/>
    <col min="14087" max="14089" width="10.7109375" style="138" customWidth="1"/>
    <col min="14090" max="14090" width="6.7109375" style="138" customWidth="1"/>
    <col min="14091" max="14094" width="10.7109375" style="138" customWidth="1"/>
    <col min="14095" max="14095" width="3.7109375" style="138" customWidth="1"/>
    <col min="14096" max="14103" width="10.7109375" style="138" customWidth="1"/>
    <col min="14104" max="14342" width="6.7109375" style="138"/>
    <col min="14343" max="14345" width="10.7109375" style="138" customWidth="1"/>
    <col min="14346" max="14346" width="6.7109375" style="138" customWidth="1"/>
    <col min="14347" max="14350" width="10.7109375" style="138" customWidth="1"/>
    <col min="14351" max="14351" width="3.7109375" style="138" customWidth="1"/>
    <col min="14352" max="14359" width="10.7109375" style="138" customWidth="1"/>
    <col min="14360" max="14598" width="6.7109375" style="138"/>
    <col min="14599" max="14601" width="10.7109375" style="138" customWidth="1"/>
    <col min="14602" max="14602" width="6.7109375" style="138" customWidth="1"/>
    <col min="14603" max="14606" width="10.7109375" style="138" customWidth="1"/>
    <col min="14607" max="14607" width="3.7109375" style="138" customWidth="1"/>
    <col min="14608" max="14615" width="10.7109375" style="138" customWidth="1"/>
    <col min="14616" max="14854" width="6.7109375" style="138"/>
    <col min="14855" max="14857" width="10.7109375" style="138" customWidth="1"/>
    <col min="14858" max="14858" width="6.7109375" style="138" customWidth="1"/>
    <col min="14859" max="14862" width="10.7109375" style="138" customWidth="1"/>
    <col min="14863" max="14863" width="3.7109375" style="138" customWidth="1"/>
    <col min="14864" max="14871" width="10.7109375" style="138" customWidth="1"/>
    <col min="14872" max="15110" width="6.7109375" style="138"/>
    <col min="15111" max="15113" width="10.7109375" style="138" customWidth="1"/>
    <col min="15114" max="15114" width="6.7109375" style="138" customWidth="1"/>
    <col min="15115" max="15118" width="10.7109375" style="138" customWidth="1"/>
    <col min="15119" max="15119" width="3.7109375" style="138" customWidth="1"/>
    <col min="15120" max="15127" width="10.7109375" style="138" customWidth="1"/>
    <col min="15128" max="15366" width="6.7109375" style="138"/>
    <col min="15367" max="15369" width="10.7109375" style="138" customWidth="1"/>
    <col min="15370" max="15370" width="6.7109375" style="138" customWidth="1"/>
    <col min="15371" max="15374" width="10.7109375" style="138" customWidth="1"/>
    <col min="15375" max="15375" width="3.7109375" style="138" customWidth="1"/>
    <col min="15376" max="15383" width="10.7109375" style="138" customWidth="1"/>
    <col min="15384" max="15622" width="6.7109375" style="138"/>
    <col min="15623" max="15625" width="10.7109375" style="138" customWidth="1"/>
    <col min="15626" max="15626" width="6.7109375" style="138" customWidth="1"/>
    <col min="15627" max="15630" width="10.7109375" style="138" customWidth="1"/>
    <col min="15631" max="15631" width="3.7109375" style="138" customWidth="1"/>
    <col min="15632" max="15639" width="10.7109375" style="138" customWidth="1"/>
    <col min="15640" max="15878" width="6.7109375" style="138"/>
    <col min="15879" max="15881" width="10.7109375" style="138" customWidth="1"/>
    <col min="15882" max="15882" width="6.7109375" style="138" customWidth="1"/>
    <col min="15883" max="15886" width="10.7109375" style="138" customWidth="1"/>
    <col min="15887" max="15887" width="3.7109375" style="138" customWidth="1"/>
    <col min="15888" max="15895" width="10.7109375" style="138" customWidth="1"/>
    <col min="15896" max="16134" width="6.7109375" style="138"/>
    <col min="16135" max="16137" width="10.7109375" style="138" customWidth="1"/>
    <col min="16138" max="16138" width="6.7109375" style="138" customWidth="1"/>
    <col min="16139" max="16142" width="10.7109375" style="138" customWidth="1"/>
    <col min="16143" max="16143" width="3.7109375" style="138" customWidth="1"/>
    <col min="16144" max="16151" width="10.7109375" style="138" customWidth="1"/>
    <col min="16152" max="16384" width="6.7109375" style="138"/>
  </cols>
  <sheetData>
    <row r="1" spans="3:32">
      <c r="C1" s="356" t="str">
        <f>VERSION</f>
        <v>version #BRANDT-X02-</v>
      </c>
      <c r="D1" s="283"/>
      <c r="E1" s="356" t="s">
        <v>286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3:32" s="17" customFormat="1" ht="20.100000000000001" customHeight="1" thickBot="1">
      <c r="C2" s="22" t="s">
        <v>43</v>
      </c>
      <c r="D2" s="20"/>
      <c r="E2" s="20"/>
      <c r="F2" s="20"/>
      <c r="G2" s="20"/>
      <c r="H2" s="20"/>
      <c r="I2" s="20"/>
      <c r="J2" s="11" t="s">
        <v>75</v>
      </c>
      <c r="K2" s="12"/>
      <c r="L2" s="12"/>
      <c r="M2" s="20"/>
      <c r="N2" s="11" t="s">
        <v>76</v>
      </c>
      <c r="O2" s="12"/>
      <c r="P2" s="12"/>
      <c r="Q2" s="14"/>
      <c r="R2" s="14"/>
      <c r="S2" s="14"/>
      <c r="T2" s="14"/>
      <c r="U2" s="14"/>
      <c r="W2" s="25"/>
      <c r="AD2" s="25"/>
      <c r="AE2" s="25"/>
      <c r="AF2" s="25"/>
    </row>
    <row r="3" spans="3:32" s="17" customFormat="1" ht="20.100000000000001" customHeight="1">
      <c r="C3" s="642"/>
      <c r="D3" s="643"/>
      <c r="E3" s="643"/>
      <c r="F3" s="643"/>
      <c r="G3" s="643"/>
      <c r="H3" s="644"/>
      <c r="I3" s="134"/>
      <c r="J3" s="636"/>
      <c r="K3" s="637"/>
      <c r="L3" s="638"/>
      <c r="M3" s="134"/>
      <c r="N3" s="636"/>
      <c r="O3" s="637"/>
      <c r="P3" s="638"/>
      <c r="Q3" s="14"/>
      <c r="R3" s="14"/>
      <c r="S3" s="14"/>
      <c r="T3" s="14"/>
      <c r="U3" s="14"/>
      <c r="W3" s="25"/>
      <c r="AD3" s="25"/>
      <c r="AE3" s="25"/>
      <c r="AF3" s="25"/>
    </row>
    <row r="4" spans="3:32" s="17" customFormat="1" ht="20.100000000000001" customHeight="1" thickBot="1">
      <c r="C4" s="645"/>
      <c r="D4" s="646"/>
      <c r="E4" s="646"/>
      <c r="F4" s="646"/>
      <c r="G4" s="646"/>
      <c r="H4" s="647"/>
      <c r="I4" s="134"/>
      <c r="J4" s="639"/>
      <c r="K4" s="640"/>
      <c r="L4" s="641"/>
      <c r="M4" s="134"/>
      <c r="N4" s="639"/>
      <c r="O4" s="640"/>
      <c r="P4" s="641"/>
      <c r="Q4" s="14"/>
      <c r="R4" s="14"/>
      <c r="S4" s="14"/>
      <c r="T4" s="14"/>
      <c r="U4" s="14"/>
      <c r="W4" s="25"/>
      <c r="AD4" s="25"/>
      <c r="AE4" s="25"/>
      <c r="AF4" s="25"/>
    </row>
    <row r="5" spans="3:32" s="17" customFormat="1" ht="20.100000000000001" customHeight="1" thickBot="1">
      <c r="C5" s="22" t="s">
        <v>231</v>
      </c>
      <c r="D5" s="20"/>
      <c r="E5" s="20"/>
      <c r="F5" s="20"/>
      <c r="G5" s="20"/>
      <c r="H5" s="20"/>
      <c r="I5" s="20"/>
      <c r="J5" s="22" t="s">
        <v>156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17" customFormat="1" ht="20.100000000000001" customHeight="1">
      <c r="C6" s="642"/>
      <c r="D6" s="643"/>
      <c r="E6" s="643"/>
      <c r="F6" s="643"/>
      <c r="G6" s="643"/>
      <c r="H6" s="644"/>
      <c r="I6" s="21"/>
      <c r="J6" s="626"/>
      <c r="K6" s="627"/>
      <c r="L6" s="627"/>
      <c r="M6" s="627"/>
      <c r="N6" s="627"/>
      <c r="O6" s="627"/>
      <c r="P6" s="627"/>
      <c r="Q6" s="627"/>
      <c r="R6" s="627"/>
      <c r="S6" s="628"/>
      <c r="T6" s="14"/>
      <c r="U6" s="14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17" customFormat="1" ht="20.100000000000001" customHeight="1" thickBot="1">
      <c r="C7" s="645"/>
      <c r="D7" s="646"/>
      <c r="E7" s="646"/>
      <c r="F7" s="646"/>
      <c r="G7" s="646"/>
      <c r="H7" s="647"/>
      <c r="I7" s="21"/>
      <c r="J7" s="629"/>
      <c r="K7" s="630"/>
      <c r="L7" s="630"/>
      <c r="M7" s="630"/>
      <c r="N7" s="630"/>
      <c r="O7" s="630"/>
      <c r="P7" s="630"/>
      <c r="Q7" s="630"/>
      <c r="R7" s="630"/>
      <c r="S7" s="631"/>
      <c r="T7" s="14"/>
      <c r="U7" s="14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17" customFormat="1" ht="19.5" customHeight="1" thickBot="1">
      <c r="C8" s="13"/>
      <c r="D8" s="15"/>
      <c r="E8" s="16"/>
      <c r="F8" s="16"/>
      <c r="G8" s="16"/>
      <c r="H8" s="20"/>
      <c r="I8" s="21"/>
      <c r="J8" s="629"/>
      <c r="K8" s="630"/>
      <c r="L8" s="630"/>
      <c r="M8" s="630"/>
      <c r="N8" s="630"/>
      <c r="O8" s="630"/>
      <c r="P8" s="630"/>
      <c r="Q8" s="630"/>
      <c r="R8" s="630"/>
      <c r="S8" s="631"/>
      <c r="T8" s="14"/>
      <c r="U8" s="14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3:32" s="17" customFormat="1" ht="20.100000000000001" customHeight="1" thickTop="1">
      <c r="C9" s="129"/>
      <c r="D9" s="651" t="s">
        <v>60</v>
      </c>
      <c r="E9" s="652"/>
      <c r="F9" s="648" t="s">
        <v>116</v>
      </c>
      <c r="G9" s="649"/>
      <c r="H9" s="129"/>
      <c r="I9" s="21"/>
      <c r="J9" s="629"/>
      <c r="K9" s="630"/>
      <c r="L9" s="630"/>
      <c r="M9" s="630"/>
      <c r="N9" s="630"/>
      <c r="O9" s="630"/>
      <c r="P9" s="630"/>
      <c r="Q9" s="630"/>
      <c r="R9" s="630"/>
      <c r="S9" s="631"/>
      <c r="T9" s="14"/>
      <c r="U9" s="14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17" customFormat="1" ht="20.100000000000001" customHeight="1" thickBot="1">
      <c r="C10" s="340"/>
      <c r="D10" s="653"/>
      <c r="E10" s="654"/>
      <c r="F10" s="72" t="s">
        <v>168</v>
      </c>
      <c r="G10" s="126" t="s">
        <v>232</v>
      </c>
      <c r="H10" s="91"/>
      <c r="I10" s="340"/>
      <c r="J10" s="632"/>
      <c r="K10" s="633"/>
      <c r="L10" s="633"/>
      <c r="M10" s="633"/>
      <c r="N10" s="633"/>
      <c r="O10" s="633"/>
      <c r="P10" s="633"/>
      <c r="Q10" s="633"/>
      <c r="R10" s="633"/>
      <c r="S10" s="634"/>
      <c r="T10" s="14"/>
      <c r="U10" s="14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3:32" s="17" customFormat="1" ht="20.100000000000001" customHeight="1" thickBot="1">
      <c r="C11" s="658" t="s">
        <v>278</v>
      </c>
      <c r="D11" s="114" t="s">
        <v>233</v>
      </c>
      <c r="E11" s="417"/>
      <c r="F11" s="80" t="s">
        <v>58</v>
      </c>
      <c r="G11" s="443">
        <f>(E11/10000)</f>
        <v>0</v>
      </c>
      <c r="H11" s="72"/>
      <c r="I11" s="340"/>
      <c r="J11" s="22" t="s">
        <v>236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3:32" s="17" customFormat="1" ht="20.100000000000001" customHeight="1" thickBot="1">
      <c r="C12" s="658"/>
      <c r="D12" s="127" t="s">
        <v>232</v>
      </c>
      <c r="E12" s="444">
        <v>1.25</v>
      </c>
      <c r="F12" s="419">
        <f>E12*10000</f>
        <v>12500</v>
      </c>
      <c r="G12" s="128" t="s">
        <v>58</v>
      </c>
      <c r="H12" s="71"/>
      <c r="I12" s="340"/>
      <c r="J12" s="635" t="s">
        <v>112</v>
      </c>
      <c r="K12" s="635"/>
      <c r="L12" s="650"/>
      <c r="M12" s="100">
        <v>1</v>
      </c>
      <c r="N12" s="14"/>
      <c r="O12" s="14"/>
      <c r="P12" s="111"/>
      <c r="Q12" s="124" t="s">
        <v>183</v>
      </c>
      <c r="R12" s="100"/>
      <c r="S12" s="14"/>
      <c r="T12" s="14"/>
      <c r="U12" s="14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3:32" s="17" customFormat="1" ht="20.100000000000001" customHeight="1" thickTop="1" thickBot="1">
      <c r="C13" s="340"/>
      <c r="D13" s="71"/>
      <c r="E13" s="80"/>
      <c r="F13" s="125" t="s">
        <v>234</v>
      </c>
      <c r="G13" s="451"/>
      <c r="H13" s="249" t="s">
        <v>155</v>
      </c>
      <c r="I13" s="340"/>
      <c r="J13" s="635" t="s">
        <v>113</v>
      </c>
      <c r="K13" s="635"/>
      <c r="L13" s="650"/>
      <c r="M13" s="100"/>
      <c r="N13" s="14"/>
      <c r="O13" s="14"/>
      <c r="P13" s="79"/>
      <c r="Q13" s="124" t="s">
        <v>180</v>
      </c>
      <c r="R13" s="100"/>
      <c r="S13" s="14"/>
      <c r="T13" s="14"/>
      <c r="U13" s="14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3:32" s="17" customFormat="1" ht="19.5" customHeight="1" thickBot="1">
      <c r="C14" s="340"/>
      <c r="D14" s="71"/>
      <c r="E14" s="80"/>
      <c r="F14" s="125" t="s">
        <v>235</v>
      </c>
      <c r="G14" s="451"/>
      <c r="H14" s="249" t="s">
        <v>155</v>
      </c>
      <c r="I14" s="340"/>
      <c r="J14" s="635" t="s">
        <v>114</v>
      </c>
      <c r="K14" s="635"/>
      <c r="L14" s="635"/>
      <c r="M14" s="100"/>
      <c r="N14" s="135"/>
      <c r="O14" s="135"/>
      <c r="P14" s="135"/>
      <c r="Q14" s="124" t="s">
        <v>181</v>
      </c>
      <c r="R14" s="100"/>
      <c r="S14" s="14"/>
      <c r="T14" s="14"/>
      <c r="U14" s="14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3:32" s="17" customFormat="1" ht="20.100000000000001" customHeight="1" thickBot="1">
      <c r="C15" s="71"/>
      <c r="D15" s="340"/>
      <c r="E15" s="340"/>
      <c r="F15" s="340"/>
      <c r="G15" s="340"/>
      <c r="H15" s="340"/>
      <c r="I15" s="635" t="s">
        <v>115</v>
      </c>
      <c r="J15" s="635"/>
      <c r="K15" s="635"/>
      <c r="L15" s="650"/>
      <c r="M15" s="100"/>
      <c r="N15" s="340"/>
      <c r="O15" s="340"/>
      <c r="P15" s="340"/>
      <c r="Q15" s="124" t="s">
        <v>182</v>
      </c>
      <c r="R15" s="100"/>
      <c r="S15" s="135"/>
      <c r="T15" s="135"/>
      <c r="U15" s="14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3:32" s="17" customFormat="1" ht="9" customHeight="1" thickBot="1">
      <c r="C16" s="69"/>
      <c r="D16" s="24"/>
      <c r="E16" s="23"/>
      <c r="F16" s="23"/>
      <c r="G16" s="18"/>
      <c r="H16" s="19"/>
      <c r="I16" s="340"/>
      <c r="J16" s="340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17" customFormat="1" ht="19.5" customHeight="1" thickTop="1">
      <c r="C17" s="655" t="s">
        <v>242</v>
      </c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7"/>
      <c r="U17" s="340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17" customFormat="1" ht="19.5" customHeight="1" thickBot="1">
      <c r="C18" s="104" t="s">
        <v>0</v>
      </c>
      <c r="D18" s="522" t="s">
        <v>1</v>
      </c>
      <c r="E18" s="522" t="s">
        <v>2</v>
      </c>
      <c r="F18" s="105" t="s">
        <v>3</v>
      </c>
      <c r="G18" s="105" t="s">
        <v>4</v>
      </c>
      <c r="H18" s="105" t="s">
        <v>5</v>
      </c>
      <c r="I18" s="105" t="s">
        <v>8</v>
      </c>
      <c r="J18" s="105" t="s">
        <v>9</v>
      </c>
      <c r="K18" s="105" t="s">
        <v>10</v>
      </c>
      <c r="L18" s="105" t="s">
        <v>7</v>
      </c>
      <c r="M18" s="105" t="s">
        <v>6</v>
      </c>
      <c r="N18" s="105" t="s">
        <v>11</v>
      </c>
      <c r="O18" s="105" t="s">
        <v>12</v>
      </c>
      <c r="P18" s="105" t="s">
        <v>13</v>
      </c>
      <c r="Q18" s="105" t="s">
        <v>102</v>
      </c>
      <c r="R18" s="107"/>
      <c r="S18" s="119"/>
      <c r="T18" s="137"/>
      <c r="U18" s="344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17" customFormat="1" ht="19.5" customHeight="1" thickBot="1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03"/>
      <c r="S19" s="120"/>
      <c r="T19" s="103"/>
      <c r="U19" s="340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7" customFormat="1" ht="19.5" customHeight="1" thickTop="1">
      <c r="C20" s="69"/>
      <c r="D20" s="24"/>
      <c r="E20" s="23"/>
      <c r="F20" s="23"/>
      <c r="G20" s="18"/>
      <c r="H20" s="19"/>
      <c r="I20" s="340"/>
      <c r="J20" s="340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17" customFormat="1" ht="19.5" customHeight="1" thickBot="1">
      <c r="C21" s="69"/>
      <c r="D21" s="24"/>
      <c r="E21" s="23"/>
      <c r="F21" s="23"/>
      <c r="G21" s="18"/>
      <c r="H21" s="19"/>
      <c r="I21" s="340"/>
      <c r="J21" s="340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7" customFormat="1" ht="24" customHeight="1" thickTop="1">
      <c r="C22" s="622" t="s">
        <v>66</v>
      </c>
      <c r="D22" s="623"/>
      <c r="E22" s="623"/>
      <c r="F22" s="130" t="s">
        <v>241</v>
      </c>
      <c r="G22" s="610" t="s">
        <v>240</v>
      </c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2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7" customFormat="1" ht="20.100000000000001" customHeight="1" thickBot="1">
      <c r="C23" s="624"/>
      <c r="D23" s="625"/>
      <c r="E23" s="625"/>
      <c r="F23" s="75" t="s">
        <v>64</v>
      </c>
      <c r="G23" s="78" t="s">
        <v>0</v>
      </c>
      <c r="H23" s="523" t="s">
        <v>1</v>
      </c>
      <c r="I23" s="523" t="s">
        <v>2</v>
      </c>
      <c r="J23" s="343" t="s">
        <v>3</v>
      </c>
      <c r="K23" s="343" t="s">
        <v>4</v>
      </c>
      <c r="L23" s="343" t="s">
        <v>5</v>
      </c>
      <c r="M23" s="343" t="s">
        <v>8</v>
      </c>
      <c r="N23" s="343" t="s">
        <v>9</v>
      </c>
      <c r="O23" s="343" t="s">
        <v>10</v>
      </c>
      <c r="P23" s="343" t="s">
        <v>7</v>
      </c>
      <c r="Q23" s="343" t="s">
        <v>6</v>
      </c>
      <c r="R23" s="343" t="s">
        <v>11</v>
      </c>
      <c r="S23" s="343" t="s">
        <v>12</v>
      </c>
      <c r="T23" s="343" t="s">
        <v>13</v>
      </c>
      <c r="U23" s="77" t="s">
        <v>62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7" customFormat="1" ht="20.100000000000001" customHeight="1">
      <c r="A24" s="70" t="str">
        <f t="shared" ref="A24:A31" si="0">IF(($C24=id.255),3,IF(($C24=id.256),4,IF(($C24=id.215),5,IF(($C24=id.200),7,IF(($C24=id.285),10,IF(($C24=id.210),12,IF(($C24=id.106),13,IF(($C24=id.310),14,IF(($C24=id.141),15,IF(($C24=id.360),16,IF(($C24=id.245),17,IF(($C24=id.225),18,IF(($C24=id.192),19,IF(($C24=id.196),20,IF(($C24=id.330),21,IF(($C24=id.675),22,IF(($C24=id.730),23,IF(($C24=id.855),24,IF(($C24=id.180),28,IF(($C24=id.185),29,IF(($C24=id.195),30,IF(($C24=id.240),31,IF(($C24=id.300),32,IF(($C24=id.177),33,IF(($C24=id.860),35,IF(($C24=id.840),36,IF(($C24=id.865),37,IF(($C24=id.800),38,IF(($C24=id.600),41,IF(($C24=id.x1),43,IF(($C24=id.x2),44,"42")))))))))))))))))))))))))))))))</f>
        <v>42</v>
      </c>
      <c r="B24" s="70"/>
      <c r="C24" s="620" t="s">
        <v>194</v>
      </c>
      <c r="D24" s="621"/>
      <c r="E24" s="621"/>
      <c r="F24" s="140">
        <v>10</v>
      </c>
      <c r="G24" s="421" t="str">
        <f t="shared" ref="G24:G31" ca="1" si="1">IF((INDIRECT("'PRODUCT DATA'!$L"&amp;$A24&amp;""))=0,"*",((INDIRECT("'PRODUCT DATA'!$H"&amp;$A24&amp;""))*(INDIRECT("'PRODUCT DATA'!$L"&amp;$A24&amp;"")))*($F24))</f>
        <v>*</v>
      </c>
      <c r="H24" s="422" t="str">
        <f t="shared" ref="H24:H31" ca="1" si="2">IF((INDIRECT("'PRODUCT DATA'!$N"&amp;$A24&amp;""))=0,"*",((INDIRECT("'PRODUCT DATA'!$H"&amp;$A24&amp;""))*(INDIRECT("'PRODUCT DATA'!$N"&amp;$A24&amp;"")))*($F24))</f>
        <v>*</v>
      </c>
      <c r="I24" s="422" t="str">
        <f t="shared" ref="I24:I31" ca="1" si="3">IF((INDIRECT("'PRODUCT DATA'!$P"&amp;$A24&amp;""))=0,"*",((INDIRECT("'PRODUCT DATA'!$H"&amp;$A24&amp;""))*(INDIRECT("'PRODUCT DATA'!$P"&amp;$A24&amp;"")))*($F24))</f>
        <v>*</v>
      </c>
      <c r="J24" s="422" t="str">
        <f t="shared" ref="J24:J31" ca="1" si="4">IF((INDIRECT("'PRODUCT DATA'!$Q"&amp;$A24&amp;""))=0,"*",((INDIRECT("'PRODUCT DATA'!$H"&amp;$A24&amp;""))*(INDIRECT("'PRODUCT DATA'!$Q"&amp;$A24&amp;"")))*($F24))</f>
        <v>*</v>
      </c>
      <c r="K24" s="422" t="str">
        <f t="shared" ref="K24:K31" ca="1" si="5">IF((INDIRECT("'PRODUCT DATA'!$R"&amp;$A24&amp;""))=0,"*",((INDIRECT("'PRODUCT DATA'!$H"&amp;$A24&amp;""))*(INDIRECT("'PRODUCT DATA'!$R"&amp;$A24&amp;"")))*($F24))</f>
        <v>*</v>
      </c>
      <c r="L24" s="422" t="str">
        <f t="shared" ref="L24:L31" ca="1" si="6">IF((INDIRECT("'PRODUCT DATA'!$S"&amp;$A24&amp;""))=0,"*",((INDIRECT("'PRODUCT DATA'!$H"&amp;$A24&amp;""))*(INDIRECT("'PRODUCT DATA'!$S"&amp;$A24&amp;"")))*($F24))</f>
        <v>*</v>
      </c>
      <c r="M24" s="422" t="str">
        <f t="shared" ref="M24:M31" ca="1" si="7">IF((INDIRECT("'PRODUCT DATA'!$T"&amp;$A24&amp;""))=0,"*",((INDIRECT("'PRODUCT DATA'!$H"&amp;$A24&amp;""))*(INDIRECT("'PRODUCT DATA'!$T"&amp;$A24&amp;"")))*($F24))</f>
        <v>*</v>
      </c>
      <c r="N24" s="422" t="str">
        <f t="shared" ref="N24:N31" ca="1" si="8">IF((INDIRECT("'PRODUCT DATA'!$U"&amp;$A24&amp;""))=0,"*",((INDIRECT("'PRODUCT DATA'!$H"&amp;$A24&amp;""))*(INDIRECT("'PRODUCT DATA'!$U"&amp;$A24&amp;"")))*($F24))</f>
        <v>*</v>
      </c>
      <c r="O24" s="422" t="str">
        <f t="shared" ref="O24:O31" ca="1" si="9">IF((INDIRECT("'PRODUCT DATA'!$V"&amp;$A24&amp;""))=0,"*",((INDIRECT("'PRODUCT DATA'!$H"&amp;$A24&amp;""))*(INDIRECT("'PRODUCT DATA'!$V"&amp;$A24&amp;"")))*($F24))</f>
        <v>*</v>
      </c>
      <c r="P24" s="422" t="str">
        <f t="shared" ref="P24:P31" ca="1" si="10">IF((INDIRECT("'PRODUCT DATA'!$W"&amp;$A24&amp;""))=0,"*",((INDIRECT("'PRODUCT DATA'!$H"&amp;$A24&amp;""))*(INDIRECT("'PRODUCT DATA'!$W"&amp;$A24&amp;"")))*($F24))</f>
        <v>*</v>
      </c>
      <c r="Q24" s="422" t="str">
        <f t="shared" ref="Q24:Q31" ca="1" si="11">IF((INDIRECT("'PRODUCT DATA'!$X"&amp;$A24&amp;""))=0,"*",((INDIRECT("'PRODUCT DATA'!$H"&amp;$A24&amp;""))*(INDIRECT("'PRODUCT DATA'!$X"&amp;$A24&amp;"")))*($F24))</f>
        <v>*</v>
      </c>
      <c r="R24" s="423" t="str">
        <f t="shared" ref="R24:R31" ca="1" si="12">IF((INDIRECT("'PRODUCT DATA'!$Y"&amp;$A24&amp;""))=0,"*",((INDIRECT("'PRODUCT DATA'!$H"&amp;$A24&amp;""))*(INDIRECT("'PRODUCT DATA'!$Y"&amp;$A24&amp;"")))*($F24))</f>
        <v>*</v>
      </c>
      <c r="S24" s="423" t="str">
        <f t="shared" ref="S24:S31" ca="1" si="13">IF((INDIRECT("'PRODUCT DATA'!$Z"&amp;$A24&amp;""))=0,"*",((INDIRECT("'PRODUCT DATA'!$H"&amp;$A24&amp;""))*(INDIRECT("'PRODUCT DATA'!$Z"&amp;$A24&amp;"")))*($F24))</f>
        <v>*</v>
      </c>
      <c r="T24" s="423" t="str">
        <f t="shared" ref="T24:T31" ca="1" si="14">IF((INDIRECT("'PRODUCT DATA'!$AA"&amp;$A24&amp;""))=0,"*",((INDIRECT("'PRODUCT DATA'!$H"&amp;$A24&amp;""))*(INDIRECT("'PRODUCT DATA'!$AA"&amp;$A24&amp;"")))*($F24))</f>
        <v>*</v>
      </c>
      <c r="U24" s="424" t="str">
        <f t="shared" ref="U24:U31" ca="1" si="15">IF((INDIRECT("'PRODUCT DATA'!$AB"&amp;$A24&amp;""))=0,"*",((INDIRECT("'PRODUCT DATA'!$H"&amp;$A24&amp;""))*(INDIRECT("'PRODUCT DATA'!$AB"&amp;$A24&amp;"")))*($F24))</f>
        <v>*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7" customFormat="1" ht="20.100000000000001" customHeight="1">
      <c r="A25" s="70" t="str">
        <f t="shared" si="0"/>
        <v>42</v>
      </c>
      <c r="B25" s="70"/>
      <c r="C25" s="597" t="s">
        <v>192</v>
      </c>
      <c r="D25" s="598"/>
      <c r="E25" s="598"/>
      <c r="F25" s="141">
        <v>20</v>
      </c>
      <c r="G25" s="425" t="str">
        <f t="shared" ca="1" si="1"/>
        <v>*</v>
      </c>
      <c r="H25" s="426" t="str">
        <f t="shared" ca="1" si="2"/>
        <v>*</v>
      </c>
      <c r="I25" s="426" t="str">
        <f t="shared" ca="1" si="3"/>
        <v>*</v>
      </c>
      <c r="J25" s="426" t="str">
        <f t="shared" ca="1" si="4"/>
        <v>*</v>
      </c>
      <c r="K25" s="426" t="str">
        <f t="shared" ca="1" si="5"/>
        <v>*</v>
      </c>
      <c r="L25" s="426" t="str">
        <f t="shared" ca="1" si="6"/>
        <v>*</v>
      </c>
      <c r="M25" s="426" t="str">
        <f t="shared" ca="1" si="7"/>
        <v>*</v>
      </c>
      <c r="N25" s="426" t="str">
        <f t="shared" ca="1" si="8"/>
        <v>*</v>
      </c>
      <c r="O25" s="426" t="str">
        <f t="shared" ca="1" si="9"/>
        <v>*</v>
      </c>
      <c r="P25" s="426" t="str">
        <f t="shared" ca="1" si="10"/>
        <v>*</v>
      </c>
      <c r="Q25" s="426" t="str">
        <f t="shared" ca="1" si="11"/>
        <v>*</v>
      </c>
      <c r="R25" s="427" t="str">
        <f t="shared" ca="1" si="12"/>
        <v>*</v>
      </c>
      <c r="S25" s="427" t="str">
        <f t="shared" ca="1" si="13"/>
        <v>*</v>
      </c>
      <c r="T25" s="427" t="str">
        <f t="shared" ca="1" si="14"/>
        <v>*</v>
      </c>
      <c r="U25" s="428" t="str">
        <f t="shared" ca="1" si="15"/>
        <v>*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7" customFormat="1" ht="20.100000000000001" customHeight="1">
      <c r="A26" s="70">
        <f t="shared" si="0"/>
        <v>16</v>
      </c>
      <c r="B26" s="70"/>
      <c r="C26" s="597"/>
      <c r="D26" s="598"/>
      <c r="E26" s="598"/>
      <c r="F26" s="141"/>
      <c r="G26" s="429" t="str">
        <f t="shared" ca="1" si="1"/>
        <v>*</v>
      </c>
      <c r="H26" s="430" t="str">
        <f t="shared" ca="1" si="2"/>
        <v>*</v>
      </c>
      <c r="I26" s="430" t="str">
        <f t="shared" ca="1" si="3"/>
        <v>*</v>
      </c>
      <c r="J26" s="430" t="str">
        <f t="shared" ca="1" si="4"/>
        <v>*</v>
      </c>
      <c r="K26" s="430" t="str">
        <f t="shared" ca="1" si="5"/>
        <v>*</v>
      </c>
      <c r="L26" s="430" t="str">
        <f t="shared" ca="1" si="6"/>
        <v>*</v>
      </c>
      <c r="M26" s="430" t="str">
        <f t="shared" ca="1" si="7"/>
        <v>*</v>
      </c>
      <c r="N26" s="430" t="str">
        <f t="shared" ca="1" si="8"/>
        <v>*</v>
      </c>
      <c r="O26" s="430" t="str">
        <f t="shared" ca="1" si="9"/>
        <v>*</v>
      </c>
      <c r="P26" s="430" t="str">
        <f t="shared" ca="1" si="10"/>
        <v>*</v>
      </c>
      <c r="Q26" s="430" t="str">
        <f t="shared" ca="1" si="11"/>
        <v>*</v>
      </c>
      <c r="R26" s="431" t="str">
        <f t="shared" ca="1" si="12"/>
        <v>*</v>
      </c>
      <c r="S26" s="431" t="str">
        <f t="shared" ca="1" si="13"/>
        <v>*</v>
      </c>
      <c r="T26" s="431" t="str">
        <f t="shared" ca="1" si="14"/>
        <v>*</v>
      </c>
      <c r="U26" s="432" t="str">
        <f t="shared" ca="1" si="15"/>
        <v>*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7" customFormat="1" ht="20.100000000000001" customHeight="1">
      <c r="A27" s="70">
        <f t="shared" si="0"/>
        <v>16</v>
      </c>
      <c r="B27" s="70"/>
      <c r="C27" s="597"/>
      <c r="D27" s="598"/>
      <c r="E27" s="598"/>
      <c r="F27" s="141"/>
      <c r="G27" s="429" t="str">
        <f t="shared" ca="1" si="1"/>
        <v>*</v>
      </c>
      <c r="H27" s="430" t="str">
        <f t="shared" ca="1" si="2"/>
        <v>*</v>
      </c>
      <c r="I27" s="430" t="str">
        <f t="shared" ca="1" si="3"/>
        <v>*</v>
      </c>
      <c r="J27" s="430" t="str">
        <f t="shared" ca="1" si="4"/>
        <v>*</v>
      </c>
      <c r="K27" s="430" t="str">
        <f t="shared" ca="1" si="5"/>
        <v>*</v>
      </c>
      <c r="L27" s="430" t="str">
        <f t="shared" ca="1" si="6"/>
        <v>*</v>
      </c>
      <c r="M27" s="430" t="str">
        <f t="shared" ca="1" si="7"/>
        <v>*</v>
      </c>
      <c r="N27" s="430" t="str">
        <f t="shared" ca="1" si="8"/>
        <v>*</v>
      </c>
      <c r="O27" s="430" t="str">
        <f t="shared" ca="1" si="9"/>
        <v>*</v>
      </c>
      <c r="P27" s="430" t="str">
        <f t="shared" ca="1" si="10"/>
        <v>*</v>
      </c>
      <c r="Q27" s="430" t="str">
        <f t="shared" ca="1" si="11"/>
        <v>*</v>
      </c>
      <c r="R27" s="431" t="str">
        <f t="shared" ca="1" si="12"/>
        <v>*</v>
      </c>
      <c r="S27" s="431" t="str">
        <f t="shared" ca="1" si="13"/>
        <v>*</v>
      </c>
      <c r="T27" s="431" t="str">
        <f t="shared" ca="1" si="14"/>
        <v>*</v>
      </c>
      <c r="U27" s="432" t="str">
        <f t="shared" ca="1" si="15"/>
        <v>*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7" customFormat="1" ht="20.100000000000001" customHeight="1">
      <c r="A28" s="70">
        <f t="shared" si="0"/>
        <v>16</v>
      </c>
      <c r="B28" s="70"/>
      <c r="C28" s="597"/>
      <c r="D28" s="598"/>
      <c r="E28" s="598"/>
      <c r="F28" s="141"/>
      <c r="G28" s="429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1"/>
      <c r="S28" s="431"/>
      <c r="T28" s="431"/>
      <c r="U28" s="432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7" customFormat="1" ht="20.100000000000001" customHeight="1">
      <c r="A29" s="70">
        <f t="shared" si="0"/>
        <v>16</v>
      </c>
      <c r="B29" s="70"/>
      <c r="C29" s="597"/>
      <c r="D29" s="598"/>
      <c r="E29" s="598"/>
      <c r="F29" s="141"/>
      <c r="G29" s="429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1"/>
      <c r="S29" s="431"/>
      <c r="T29" s="431"/>
      <c r="U29" s="432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17" customFormat="1" ht="20.100000000000001" customHeight="1">
      <c r="A30" s="70">
        <f t="shared" si="0"/>
        <v>16</v>
      </c>
      <c r="B30" s="70"/>
      <c r="C30" s="597"/>
      <c r="D30" s="598"/>
      <c r="E30" s="598"/>
      <c r="F30" s="141"/>
      <c r="G30" s="429" t="str">
        <f t="shared" ca="1" si="1"/>
        <v>*</v>
      </c>
      <c r="H30" s="430" t="str">
        <f t="shared" ca="1" si="2"/>
        <v>*</v>
      </c>
      <c r="I30" s="430" t="str">
        <f t="shared" ca="1" si="3"/>
        <v>*</v>
      </c>
      <c r="J30" s="430" t="str">
        <f t="shared" ca="1" si="4"/>
        <v>*</v>
      </c>
      <c r="K30" s="430" t="str">
        <f t="shared" ca="1" si="5"/>
        <v>*</v>
      </c>
      <c r="L30" s="430" t="str">
        <f t="shared" ca="1" si="6"/>
        <v>*</v>
      </c>
      <c r="M30" s="430" t="str">
        <f t="shared" ca="1" si="7"/>
        <v>*</v>
      </c>
      <c r="N30" s="430" t="str">
        <f t="shared" ca="1" si="8"/>
        <v>*</v>
      </c>
      <c r="O30" s="430" t="str">
        <f t="shared" ca="1" si="9"/>
        <v>*</v>
      </c>
      <c r="P30" s="430" t="str">
        <f t="shared" ca="1" si="10"/>
        <v>*</v>
      </c>
      <c r="Q30" s="430" t="str">
        <f t="shared" ca="1" si="11"/>
        <v>*</v>
      </c>
      <c r="R30" s="431" t="str">
        <f t="shared" ca="1" si="12"/>
        <v>*</v>
      </c>
      <c r="S30" s="431" t="str">
        <f t="shared" ca="1" si="13"/>
        <v>*</v>
      </c>
      <c r="T30" s="431" t="str">
        <f t="shared" ca="1" si="14"/>
        <v>*</v>
      </c>
      <c r="U30" s="432" t="str">
        <f t="shared" ca="1" si="15"/>
        <v>*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17" customFormat="1" ht="20.100000000000001" customHeight="1" thickBot="1">
      <c r="A31" s="70">
        <f t="shared" si="0"/>
        <v>16</v>
      </c>
      <c r="B31" s="70"/>
      <c r="C31" s="601"/>
      <c r="D31" s="602"/>
      <c r="E31" s="602"/>
      <c r="F31" s="142"/>
      <c r="G31" s="433" t="str">
        <f t="shared" ca="1" si="1"/>
        <v>*</v>
      </c>
      <c r="H31" s="434" t="str">
        <f t="shared" ca="1" si="2"/>
        <v>*</v>
      </c>
      <c r="I31" s="434" t="str">
        <f t="shared" ca="1" si="3"/>
        <v>*</v>
      </c>
      <c r="J31" s="434" t="str">
        <f t="shared" ca="1" si="4"/>
        <v>*</v>
      </c>
      <c r="K31" s="434" t="str">
        <f t="shared" ca="1" si="5"/>
        <v>*</v>
      </c>
      <c r="L31" s="434" t="str">
        <f t="shared" ca="1" si="6"/>
        <v>*</v>
      </c>
      <c r="M31" s="434" t="str">
        <f t="shared" ca="1" si="7"/>
        <v>*</v>
      </c>
      <c r="N31" s="434" t="str">
        <f t="shared" ca="1" si="8"/>
        <v>*</v>
      </c>
      <c r="O31" s="434" t="str">
        <f t="shared" ca="1" si="9"/>
        <v>*</v>
      </c>
      <c r="P31" s="434" t="str">
        <f t="shared" ca="1" si="10"/>
        <v>*</v>
      </c>
      <c r="Q31" s="434" t="str">
        <f t="shared" ca="1" si="11"/>
        <v>*</v>
      </c>
      <c r="R31" s="435" t="str">
        <f t="shared" ca="1" si="12"/>
        <v>*</v>
      </c>
      <c r="S31" s="435" t="str">
        <f t="shared" ca="1" si="13"/>
        <v>*</v>
      </c>
      <c r="T31" s="435" t="str">
        <f t="shared" ca="1" si="14"/>
        <v>*</v>
      </c>
      <c r="U31" s="436" t="str">
        <f t="shared" ca="1" si="15"/>
        <v>*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20.100000000000001" customHeight="1" thickBot="1">
      <c r="C32" s="603" t="s">
        <v>139</v>
      </c>
      <c r="D32" s="604"/>
      <c r="E32" s="604"/>
      <c r="F32" s="605"/>
      <c r="G32" s="437" t="str">
        <f t="shared" ref="G32:U32" ca="1" si="16">IF(SUM(G24:G31)=0,"0",SUM(G24:G31))</f>
        <v>0</v>
      </c>
      <c r="H32" s="437" t="str">
        <f t="shared" ca="1" si="16"/>
        <v>0</v>
      </c>
      <c r="I32" s="437" t="str">
        <f t="shared" ca="1" si="16"/>
        <v>0</v>
      </c>
      <c r="J32" s="437" t="str">
        <f t="shared" ca="1" si="16"/>
        <v>0</v>
      </c>
      <c r="K32" s="437" t="str">
        <f t="shared" ca="1" si="16"/>
        <v>0</v>
      </c>
      <c r="L32" s="437" t="str">
        <f t="shared" ca="1" si="16"/>
        <v>0</v>
      </c>
      <c r="M32" s="437" t="str">
        <f t="shared" ca="1" si="16"/>
        <v>0</v>
      </c>
      <c r="N32" s="437" t="str">
        <f t="shared" ca="1" si="16"/>
        <v>0</v>
      </c>
      <c r="O32" s="437" t="str">
        <f t="shared" ca="1" si="16"/>
        <v>0</v>
      </c>
      <c r="P32" s="437" t="str">
        <f t="shared" ca="1" si="16"/>
        <v>0</v>
      </c>
      <c r="Q32" s="438" t="str">
        <f t="shared" ca="1" si="16"/>
        <v>0</v>
      </c>
      <c r="R32" s="438" t="str">
        <f t="shared" ca="1" si="16"/>
        <v>0</v>
      </c>
      <c r="S32" s="438" t="str">
        <f t="shared" ca="1" si="16"/>
        <v>0</v>
      </c>
      <c r="T32" s="438" t="str">
        <f t="shared" ca="1" si="16"/>
        <v>0</v>
      </c>
      <c r="U32" s="439" t="str">
        <f t="shared" ca="1" si="16"/>
        <v>0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21" ht="19.5" customHeight="1" thickTop="1">
      <c r="C33" s="607" t="s">
        <v>261</v>
      </c>
      <c r="D33" s="607"/>
      <c r="E33" s="607"/>
      <c r="F33" s="607"/>
      <c r="G33" s="440">
        <f t="shared" ref="G33:U33" ca="1" si="17">G32*$M$12</f>
        <v>0</v>
      </c>
      <c r="H33" s="440">
        <f t="shared" ca="1" si="17"/>
        <v>0</v>
      </c>
      <c r="I33" s="440">
        <f t="shared" ca="1" si="17"/>
        <v>0</v>
      </c>
      <c r="J33" s="440">
        <f t="shared" ca="1" si="17"/>
        <v>0</v>
      </c>
      <c r="K33" s="440">
        <f t="shared" ca="1" si="17"/>
        <v>0</v>
      </c>
      <c r="L33" s="440">
        <f t="shared" ca="1" si="17"/>
        <v>0</v>
      </c>
      <c r="M33" s="440">
        <f t="shared" ca="1" si="17"/>
        <v>0</v>
      </c>
      <c r="N33" s="440">
        <f t="shared" ca="1" si="17"/>
        <v>0</v>
      </c>
      <c r="O33" s="440">
        <f t="shared" ca="1" si="17"/>
        <v>0</v>
      </c>
      <c r="P33" s="440">
        <f t="shared" ca="1" si="17"/>
        <v>0</v>
      </c>
      <c r="Q33" s="441">
        <f t="shared" ca="1" si="17"/>
        <v>0</v>
      </c>
      <c r="R33" s="441">
        <f t="shared" ca="1" si="17"/>
        <v>0</v>
      </c>
      <c r="S33" s="441">
        <f t="shared" ca="1" si="17"/>
        <v>0</v>
      </c>
      <c r="T33" s="441">
        <f t="shared" ca="1" si="17"/>
        <v>0</v>
      </c>
      <c r="U33" s="441">
        <f t="shared" ca="1" si="17"/>
        <v>0</v>
      </c>
    </row>
    <row r="34" spans="1:21" ht="19.5" hidden="1" customHeight="1">
      <c r="C34" s="607"/>
      <c r="D34" s="607"/>
      <c r="E34" s="607"/>
      <c r="F34" s="607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1"/>
      <c r="R34" s="441"/>
      <c r="S34" s="441"/>
      <c r="T34" s="441"/>
      <c r="U34" s="441"/>
    </row>
    <row r="35" spans="1:21" ht="19.5" hidden="1" customHeight="1">
      <c r="C35" s="607"/>
      <c r="D35" s="607"/>
      <c r="E35" s="607"/>
      <c r="F35" s="607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9" customHeight="1" thickBot="1"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ht="24" customHeight="1" thickTop="1">
      <c r="A37" s="17"/>
      <c r="B37" s="17"/>
      <c r="C37" s="622" t="s">
        <v>67</v>
      </c>
      <c r="D37" s="623"/>
      <c r="E37" s="623"/>
      <c r="F37" s="130" t="s">
        <v>241</v>
      </c>
      <c r="G37" s="610" t="s">
        <v>240</v>
      </c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2"/>
    </row>
    <row r="38" spans="1:21" ht="19.5" customHeight="1" thickBot="1">
      <c r="A38" s="17"/>
      <c r="B38" s="17"/>
      <c r="C38" s="624"/>
      <c r="D38" s="625"/>
      <c r="E38" s="625"/>
      <c r="F38" s="75" t="s">
        <v>64</v>
      </c>
      <c r="G38" s="78" t="s">
        <v>0</v>
      </c>
      <c r="H38" s="523" t="s">
        <v>1</v>
      </c>
      <c r="I38" s="523" t="s">
        <v>2</v>
      </c>
      <c r="J38" s="343" t="s">
        <v>3</v>
      </c>
      <c r="K38" s="343" t="s">
        <v>4</v>
      </c>
      <c r="L38" s="343" t="s">
        <v>5</v>
      </c>
      <c r="M38" s="343" t="s">
        <v>8</v>
      </c>
      <c r="N38" s="343" t="s">
        <v>9</v>
      </c>
      <c r="O38" s="343" t="s">
        <v>10</v>
      </c>
      <c r="P38" s="343" t="s">
        <v>7</v>
      </c>
      <c r="Q38" s="343" t="s">
        <v>6</v>
      </c>
      <c r="R38" s="343" t="s">
        <v>11</v>
      </c>
      <c r="S38" s="343" t="s">
        <v>12</v>
      </c>
      <c r="T38" s="343" t="s">
        <v>13</v>
      </c>
      <c r="U38" s="77" t="s">
        <v>62</v>
      </c>
    </row>
    <row r="39" spans="1:21" ht="19.5" customHeight="1">
      <c r="A39" s="70">
        <f t="shared" ref="A39:A44" si="18">IF(($C39=id.255),3,IF(($C39=id.256),4,IF(($C39=id.215),5,IF(($C39=id.200),7,IF(($C39=id.285),10,IF(($C39=id.210),12,IF(($C39=id.106),13,IF(($C39=id.310),14,IF(($C39=id.141),15,IF(($C39=id.360),16,IF(($C39=id.245),17,IF(($C39=id.225),18,IF(($C39=id.192),19,IF(($C39=id.196),20,IF(($C39=id.330),21,IF(($C39=id.675),22,IF(($C39=id.730),23,IF(($C39=id.855),24,IF(($C39=id.180),28,IF(($C39=id.185),29,IF(($C39=id.195),30,IF(($C39=id.240),31,IF(($C39=id.300),32,IF(($C39=id.177),33,IF(($C39=id.860),35,IF(($C39=id.840),36,IF(($C39=id.865),37,IF(($C39=id.800),38,IF(($C39=id.600),41,IF(($C39=id.x1),43,IF(($C39=id.x2),44,"42")))))))))))))))))))))))))))))))</f>
        <v>16</v>
      </c>
      <c r="B39" s="70"/>
      <c r="C39" s="620"/>
      <c r="D39" s="621"/>
      <c r="E39" s="621"/>
      <c r="F39" s="140"/>
      <c r="G39" s="421" t="str">
        <f t="shared" ref="G39:G44" ca="1" si="19">IF((INDIRECT("'PRODUCT DATA'!$L"&amp;$A39&amp;""))=0,"*",((INDIRECT("'PRODUCT DATA'!$H"&amp;$A39&amp;""))*(INDIRECT("'PRODUCT DATA'!$L"&amp;$A39&amp;"")))*($F39))</f>
        <v>*</v>
      </c>
      <c r="H39" s="422" t="str">
        <f t="shared" ref="H39:H44" ca="1" si="20">IF((INDIRECT("'PRODUCT DATA'!$N"&amp;$A39&amp;""))=0,"*",((INDIRECT("'PRODUCT DATA'!$H"&amp;$A39&amp;""))*(INDIRECT("'PRODUCT DATA'!$N"&amp;$A39&amp;"")))*($F39))</f>
        <v>*</v>
      </c>
      <c r="I39" s="422" t="str">
        <f t="shared" ref="I39:I44" ca="1" si="21">IF((INDIRECT("'PRODUCT DATA'!$P"&amp;$A39&amp;""))=0,"*",((INDIRECT("'PRODUCT DATA'!$H"&amp;$A39&amp;""))*(INDIRECT("'PRODUCT DATA'!$P"&amp;$A39&amp;"")))*($F39))</f>
        <v>*</v>
      </c>
      <c r="J39" s="422" t="str">
        <f t="shared" ref="J39:J44" ca="1" si="22">IF((INDIRECT("'PRODUCT DATA'!$Q"&amp;$A39&amp;""))=0,"*",((INDIRECT("'PRODUCT DATA'!$H"&amp;$A39&amp;""))*(INDIRECT("'PRODUCT DATA'!$Q"&amp;$A39&amp;"")))*($F39))</f>
        <v>*</v>
      </c>
      <c r="K39" s="422" t="str">
        <f t="shared" ref="K39:K44" ca="1" si="23">IF((INDIRECT("'PRODUCT DATA'!$R"&amp;$A39&amp;""))=0,"*",((INDIRECT("'PRODUCT DATA'!$H"&amp;$A39&amp;""))*(INDIRECT("'PRODUCT DATA'!$R"&amp;$A39&amp;"")))*($F39))</f>
        <v>*</v>
      </c>
      <c r="L39" s="422" t="str">
        <f t="shared" ref="L39:L44" ca="1" si="24">IF((INDIRECT("'PRODUCT DATA'!$S"&amp;$A39&amp;""))=0,"*",((INDIRECT("'PRODUCT DATA'!$H"&amp;$A39&amp;""))*(INDIRECT("'PRODUCT DATA'!$S"&amp;$A39&amp;"")))*($F39))</f>
        <v>*</v>
      </c>
      <c r="M39" s="422" t="str">
        <f t="shared" ref="M39:M44" ca="1" si="25">IF((INDIRECT("'PRODUCT DATA'!$T"&amp;$A39&amp;""))=0,"*",((INDIRECT("'PRODUCT DATA'!$H"&amp;$A39&amp;""))*(INDIRECT("'PRODUCT DATA'!$T"&amp;$A39&amp;"")))*($F39))</f>
        <v>*</v>
      </c>
      <c r="N39" s="422" t="str">
        <f t="shared" ref="N39:N44" ca="1" si="26">IF((INDIRECT("'PRODUCT DATA'!$U"&amp;$A39&amp;""))=0,"*",((INDIRECT("'PRODUCT DATA'!$H"&amp;$A39&amp;""))*(INDIRECT("'PRODUCT DATA'!$U"&amp;$A39&amp;"")))*($F39))</f>
        <v>*</v>
      </c>
      <c r="O39" s="422" t="str">
        <f t="shared" ref="O39:O44" ca="1" si="27">IF((INDIRECT("'PRODUCT DATA'!$V"&amp;$A39&amp;""))=0,"*",((INDIRECT("'PRODUCT DATA'!$H"&amp;$A39&amp;""))*(INDIRECT("'PRODUCT DATA'!$V"&amp;$A39&amp;"")))*($F39))</f>
        <v>*</v>
      </c>
      <c r="P39" s="422" t="str">
        <f t="shared" ref="P39:P44" ca="1" si="28">IF((INDIRECT("'PRODUCT DATA'!$W"&amp;$A39&amp;""))=0,"*",((INDIRECT("'PRODUCT DATA'!$H"&amp;$A39&amp;""))*(INDIRECT("'PRODUCT DATA'!$W"&amp;$A39&amp;"")))*($F39))</f>
        <v>*</v>
      </c>
      <c r="Q39" s="422" t="str">
        <f t="shared" ref="Q39:Q44" ca="1" si="29">IF((INDIRECT("'PRODUCT DATA'!$X"&amp;$A39&amp;""))=0,"*",((INDIRECT("'PRODUCT DATA'!$H"&amp;$A39&amp;""))*(INDIRECT("'PRODUCT DATA'!$X"&amp;$A39&amp;"")))*($F39))</f>
        <v>*</v>
      </c>
      <c r="R39" s="423" t="str">
        <f t="shared" ref="R39:R44" ca="1" si="30">IF((INDIRECT("'PRODUCT DATA'!$Y"&amp;$A39&amp;""))=0,"*",((INDIRECT("'PRODUCT DATA'!$H"&amp;$A39&amp;""))*(INDIRECT("'PRODUCT DATA'!$Y"&amp;$A39&amp;"")))*($F39))</f>
        <v>*</v>
      </c>
      <c r="S39" s="423" t="str">
        <f t="shared" ref="S39:S44" ca="1" si="31">IF((INDIRECT("'PRODUCT DATA'!$Z"&amp;$A39&amp;""))=0,"*",((INDIRECT("'PRODUCT DATA'!$H"&amp;$A39&amp;""))*(INDIRECT("'PRODUCT DATA'!$Z"&amp;$A39&amp;"")))*($F39))</f>
        <v>*</v>
      </c>
      <c r="T39" s="423" t="str">
        <f t="shared" ref="T39:T44" ca="1" si="32">IF((INDIRECT("'PRODUCT DATA'!$AA"&amp;$A39&amp;""))=0,"*",((INDIRECT("'PRODUCT DATA'!$H"&amp;$A39&amp;""))*(INDIRECT("'PRODUCT DATA'!$AA"&amp;$A39&amp;"")))*($F39))</f>
        <v>*</v>
      </c>
      <c r="U39" s="424" t="str">
        <f t="shared" ref="U39:U44" ca="1" si="33">IF((INDIRECT("'PRODUCT DATA'!$AB"&amp;$A39&amp;""))=0,"*",((INDIRECT("'PRODUCT DATA'!$H"&amp;$A39&amp;""))*(INDIRECT("'PRODUCT DATA'!$AB"&amp;$A39&amp;"")))*($F39))</f>
        <v>*</v>
      </c>
    </row>
    <row r="40" spans="1:21" ht="19.5" customHeight="1">
      <c r="A40" s="70">
        <f t="shared" si="18"/>
        <v>16</v>
      </c>
      <c r="B40" s="70"/>
      <c r="C40" s="597"/>
      <c r="D40" s="598"/>
      <c r="E40" s="598"/>
      <c r="F40" s="141"/>
      <c r="G40" s="425" t="str">
        <f t="shared" ca="1" si="19"/>
        <v>*</v>
      </c>
      <c r="H40" s="426" t="str">
        <f t="shared" ca="1" si="20"/>
        <v>*</v>
      </c>
      <c r="I40" s="426" t="str">
        <f t="shared" ca="1" si="21"/>
        <v>*</v>
      </c>
      <c r="J40" s="426" t="str">
        <f t="shared" ca="1" si="22"/>
        <v>*</v>
      </c>
      <c r="K40" s="426" t="str">
        <f t="shared" ca="1" si="23"/>
        <v>*</v>
      </c>
      <c r="L40" s="426" t="str">
        <f t="shared" ca="1" si="24"/>
        <v>*</v>
      </c>
      <c r="M40" s="426" t="str">
        <f t="shared" ca="1" si="25"/>
        <v>*</v>
      </c>
      <c r="N40" s="426" t="str">
        <f t="shared" ca="1" si="26"/>
        <v>*</v>
      </c>
      <c r="O40" s="426" t="str">
        <f t="shared" ca="1" si="27"/>
        <v>*</v>
      </c>
      <c r="P40" s="426" t="str">
        <f t="shared" ca="1" si="28"/>
        <v>*</v>
      </c>
      <c r="Q40" s="426" t="str">
        <f t="shared" ca="1" si="29"/>
        <v>*</v>
      </c>
      <c r="R40" s="427" t="str">
        <f t="shared" ca="1" si="30"/>
        <v>*</v>
      </c>
      <c r="S40" s="427" t="str">
        <f t="shared" ca="1" si="31"/>
        <v>*</v>
      </c>
      <c r="T40" s="427" t="str">
        <f t="shared" ca="1" si="32"/>
        <v>*</v>
      </c>
      <c r="U40" s="428" t="str">
        <f t="shared" ca="1" si="33"/>
        <v>*</v>
      </c>
    </row>
    <row r="41" spans="1:21" ht="19.5" customHeight="1">
      <c r="A41" s="70">
        <f t="shared" si="18"/>
        <v>16</v>
      </c>
      <c r="B41" s="70"/>
      <c r="C41" s="597"/>
      <c r="D41" s="598"/>
      <c r="E41" s="598"/>
      <c r="F41" s="141"/>
      <c r="G41" s="429" t="str">
        <f t="shared" ca="1" si="19"/>
        <v>*</v>
      </c>
      <c r="H41" s="430" t="str">
        <f t="shared" ca="1" si="20"/>
        <v>*</v>
      </c>
      <c r="I41" s="430" t="str">
        <f t="shared" ca="1" si="21"/>
        <v>*</v>
      </c>
      <c r="J41" s="430" t="str">
        <f t="shared" ca="1" si="22"/>
        <v>*</v>
      </c>
      <c r="K41" s="430" t="str">
        <f t="shared" ca="1" si="23"/>
        <v>*</v>
      </c>
      <c r="L41" s="430" t="str">
        <f t="shared" ca="1" si="24"/>
        <v>*</v>
      </c>
      <c r="M41" s="430" t="str">
        <f t="shared" ca="1" si="25"/>
        <v>*</v>
      </c>
      <c r="N41" s="430" t="str">
        <f t="shared" ca="1" si="26"/>
        <v>*</v>
      </c>
      <c r="O41" s="430" t="str">
        <f t="shared" ca="1" si="27"/>
        <v>*</v>
      </c>
      <c r="P41" s="430" t="str">
        <f t="shared" ca="1" si="28"/>
        <v>*</v>
      </c>
      <c r="Q41" s="430" t="str">
        <f t="shared" ca="1" si="29"/>
        <v>*</v>
      </c>
      <c r="R41" s="431" t="str">
        <f t="shared" ca="1" si="30"/>
        <v>*</v>
      </c>
      <c r="S41" s="431" t="str">
        <f t="shared" ca="1" si="31"/>
        <v>*</v>
      </c>
      <c r="T41" s="431" t="str">
        <f t="shared" ca="1" si="32"/>
        <v>*</v>
      </c>
      <c r="U41" s="432" t="str">
        <f t="shared" ca="1" si="33"/>
        <v>*</v>
      </c>
    </row>
    <row r="42" spans="1:21" ht="19.5" customHeight="1">
      <c r="A42" s="70">
        <f t="shared" si="18"/>
        <v>16</v>
      </c>
      <c r="B42" s="70"/>
      <c r="C42" s="597"/>
      <c r="D42" s="598"/>
      <c r="E42" s="598"/>
      <c r="F42" s="141"/>
      <c r="G42" s="429" t="str">
        <f t="shared" ca="1" si="19"/>
        <v>*</v>
      </c>
      <c r="H42" s="430" t="str">
        <f t="shared" ca="1" si="20"/>
        <v>*</v>
      </c>
      <c r="I42" s="430" t="str">
        <f t="shared" ca="1" si="21"/>
        <v>*</v>
      </c>
      <c r="J42" s="430" t="str">
        <f t="shared" ca="1" si="22"/>
        <v>*</v>
      </c>
      <c r="K42" s="430" t="str">
        <f t="shared" ca="1" si="23"/>
        <v>*</v>
      </c>
      <c r="L42" s="430" t="str">
        <f t="shared" ca="1" si="24"/>
        <v>*</v>
      </c>
      <c r="M42" s="430" t="str">
        <f t="shared" ca="1" si="25"/>
        <v>*</v>
      </c>
      <c r="N42" s="430" t="str">
        <f t="shared" ca="1" si="26"/>
        <v>*</v>
      </c>
      <c r="O42" s="430" t="str">
        <f t="shared" ca="1" si="27"/>
        <v>*</v>
      </c>
      <c r="P42" s="430" t="str">
        <f t="shared" ca="1" si="28"/>
        <v>*</v>
      </c>
      <c r="Q42" s="430" t="str">
        <f t="shared" ca="1" si="29"/>
        <v>*</v>
      </c>
      <c r="R42" s="431" t="str">
        <f t="shared" ca="1" si="30"/>
        <v>*</v>
      </c>
      <c r="S42" s="431" t="str">
        <f t="shared" ca="1" si="31"/>
        <v>*</v>
      </c>
      <c r="T42" s="431" t="str">
        <f t="shared" ca="1" si="32"/>
        <v>*</v>
      </c>
      <c r="U42" s="432" t="str">
        <f t="shared" ca="1" si="33"/>
        <v>*</v>
      </c>
    </row>
    <row r="43" spans="1:21" ht="19.5" customHeight="1">
      <c r="A43" s="70">
        <f t="shared" si="18"/>
        <v>16</v>
      </c>
      <c r="B43" s="70"/>
      <c r="C43" s="597"/>
      <c r="D43" s="598"/>
      <c r="E43" s="598"/>
      <c r="F43" s="141"/>
      <c r="G43" s="429" t="str">
        <f t="shared" ca="1" si="19"/>
        <v>*</v>
      </c>
      <c r="H43" s="430" t="str">
        <f t="shared" ca="1" si="20"/>
        <v>*</v>
      </c>
      <c r="I43" s="430" t="str">
        <f t="shared" ca="1" si="21"/>
        <v>*</v>
      </c>
      <c r="J43" s="430" t="str">
        <f t="shared" ca="1" si="22"/>
        <v>*</v>
      </c>
      <c r="K43" s="430" t="str">
        <f t="shared" ca="1" si="23"/>
        <v>*</v>
      </c>
      <c r="L43" s="430" t="str">
        <f t="shared" ca="1" si="24"/>
        <v>*</v>
      </c>
      <c r="M43" s="430" t="str">
        <f t="shared" ca="1" si="25"/>
        <v>*</v>
      </c>
      <c r="N43" s="430" t="str">
        <f t="shared" ca="1" si="26"/>
        <v>*</v>
      </c>
      <c r="O43" s="430" t="str">
        <f t="shared" ca="1" si="27"/>
        <v>*</v>
      </c>
      <c r="P43" s="430" t="str">
        <f t="shared" ca="1" si="28"/>
        <v>*</v>
      </c>
      <c r="Q43" s="430" t="str">
        <f t="shared" ca="1" si="29"/>
        <v>*</v>
      </c>
      <c r="R43" s="431" t="str">
        <f t="shared" ca="1" si="30"/>
        <v>*</v>
      </c>
      <c r="S43" s="431" t="str">
        <f t="shared" ca="1" si="31"/>
        <v>*</v>
      </c>
      <c r="T43" s="431" t="str">
        <f t="shared" ca="1" si="32"/>
        <v>*</v>
      </c>
      <c r="U43" s="432" t="str">
        <f t="shared" ca="1" si="33"/>
        <v>*</v>
      </c>
    </row>
    <row r="44" spans="1:21" ht="19.5" customHeight="1" thickBot="1">
      <c r="A44" s="70">
        <f t="shared" si="18"/>
        <v>16</v>
      </c>
      <c r="B44" s="70"/>
      <c r="C44" s="601"/>
      <c r="D44" s="602"/>
      <c r="E44" s="602"/>
      <c r="F44" s="142"/>
      <c r="G44" s="433" t="str">
        <f t="shared" ca="1" si="19"/>
        <v>*</v>
      </c>
      <c r="H44" s="434" t="str">
        <f t="shared" ca="1" si="20"/>
        <v>*</v>
      </c>
      <c r="I44" s="434" t="str">
        <f t="shared" ca="1" si="21"/>
        <v>*</v>
      </c>
      <c r="J44" s="434" t="str">
        <f t="shared" ca="1" si="22"/>
        <v>*</v>
      </c>
      <c r="K44" s="434" t="str">
        <f t="shared" ca="1" si="23"/>
        <v>*</v>
      </c>
      <c r="L44" s="434" t="str">
        <f t="shared" ca="1" si="24"/>
        <v>*</v>
      </c>
      <c r="M44" s="434" t="str">
        <f t="shared" ca="1" si="25"/>
        <v>*</v>
      </c>
      <c r="N44" s="434" t="str">
        <f t="shared" ca="1" si="26"/>
        <v>*</v>
      </c>
      <c r="O44" s="434" t="str">
        <f t="shared" ca="1" si="27"/>
        <v>*</v>
      </c>
      <c r="P44" s="434" t="str">
        <f t="shared" ca="1" si="28"/>
        <v>*</v>
      </c>
      <c r="Q44" s="434" t="str">
        <f t="shared" ca="1" si="29"/>
        <v>*</v>
      </c>
      <c r="R44" s="435" t="str">
        <f t="shared" ca="1" si="30"/>
        <v>*</v>
      </c>
      <c r="S44" s="435" t="str">
        <f t="shared" ca="1" si="31"/>
        <v>*</v>
      </c>
      <c r="T44" s="435" t="str">
        <f t="shared" ca="1" si="32"/>
        <v>*</v>
      </c>
      <c r="U44" s="436" t="str">
        <f t="shared" ca="1" si="33"/>
        <v>*</v>
      </c>
    </row>
    <row r="45" spans="1:21" ht="19.5" customHeight="1" thickBot="1">
      <c r="C45" s="603" t="s">
        <v>139</v>
      </c>
      <c r="D45" s="604"/>
      <c r="E45" s="604"/>
      <c r="F45" s="605"/>
      <c r="G45" s="437" t="str">
        <f t="shared" ref="G45:U45" ca="1" si="34">IF(SUM(G39:G44)=0,"0",SUM(G39:G44))</f>
        <v>0</v>
      </c>
      <c r="H45" s="437" t="str">
        <f t="shared" ca="1" si="34"/>
        <v>0</v>
      </c>
      <c r="I45" s="437" t="str">
        <f t="shared" ca="1" si="34"/>
        <v>0</v>
      </c>
      <c r="J45" s="437" t="str">
        <f t="shared" ca="1" si="34"/>
        <v>0</v>
      </c>
      <c r="K45" s="437" t="str">
        <f t="shared" ca="1" si="34"/>
        <v>0</v>
      </c>
      <c r="L45" s="437" t="str">
        <f t="shared" ca="1" si="34"/>
        <v>0</v>
      </c>
      <c r="M45" s="437" t="str">
        <f t="shared" ca="1" si="34"/>
        <v>0</v>
      </c>
      <c r="N45" s="437" t="str">
        <f t="shared" ca="1" si="34"/>
        <v>0</v>
      </c>
      <c r="O45" s="437" t="str">
        <f t="shared" ca="1" si="34"/>
        <v>0</v>
      </c>
      <c r="P45" s="437" t="str">
        <f t="shared" ca="1" si="34"/>
        <v>0</v>
      </c>
      <c r="Q45" s="438" t="str">
        <f t="shared" ca="1" si="34"/>
        <v>0</v>
      </c>
      <c r="R45" s="438" t="str">
        <f t="shared" ca="1" si="34"/>
        <v>0</v>
      </c>
      <c r="S45" s="438" t="str">
        <f t="shared" ca="1" si="34"/>
        <v>0</v>
      </c>
      <c r="T45" s="438" t="str">
        <f t="shared" ca="1" si="34"/>
        <v>0</v>
      </c>
      <c r="U45" s="439" t="str">
        <f t="shared" ca="1" si="34"/>
        <v>0</v>
      </c>
    </row>
    <row r="46" spans="1:21" ht="19.5" customHeight="1" thickTop="1">
      <c r="C46" s="607" t="s">
        <v>261</v>
      </c>
      <c r="D46" s="607"/>
      <c r="E46" s="607"/>
      <c r="F46" s="607"/>
      <c r="G46" s="440">
        <f t="shared" ref="G46:U46" ca="1" si="35">G45*$M$13</f>
        <v>0</v>
      </c>
      <c r="H46" s="440">
        <f t="shared" ca="1" si="35"/>
        <v>0</v>
      </c>
      <c r="I46" s="440">
        <f t="shared" ca="1" si="35"/>
        <v>0</v>
      </c>
      <c r="J46" s="440">
        <f t="shared" ca="1" si="35"/>
        <v>0</v>
      </c>
      <c r="K46" s="440">
        <f t="shared" ca="1" si="35"/>
        <v>0</v>
      </c>
      <c r="L46" s="440">
        <f t="shared" ca="1" si="35"/>
        <v>0</v>
      </c>
      <c r="M46" s="440">
        <f t="shared" ca="1" si="35"/>
        <v>0</v>
      </c>
      <c r="N46" s="440">
        <f t="shared" ca="1" si="35"/>
        <v>0</v>
      </c>
      <c r="O46" s="440">
        <f t="shared" ca="1" si="35"/>
        <v>0</v>
      </c>
      <c r="P46" s="440">
        <f t="shared" ca="1" si="35"/>
        <v>0</v>
      </c>
      <c r="Q46" s="441">
        <f t="shared" ca="1" si="35"/>
        <v>0</v>
      </c>
      <c r="R46" s="441">
        <f t="shared" ca="1" si="35"/>
        <v>0</v>
      </c>
      <c r="S46" s="441">
        <f t="shared" ca="1" si="35"/>
        <v>0</v>
      </c>
      <c r="T46" s="441">
        <f t="shared" ca="1" si="35"/>
        <v>0</v>
      </c>
      <c r="U46" s="441">
        <f t="shared" ca="1" si="35"/>
        <v>0</v>
      </c>
    </row>
    <row r="47" spans="1:21" ht="19.5" hidden="1" customHeight="1">
      <c r="C47" s="607"/>
      <c r="D47" s="607"/>
      <c r="E47" s="607"/>
      <c r="F47" s="607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1"/>
      <c r="R47" s="441"/>
      <c r="S47" s="441"/>
      <c r="T47" s="441"/>
      <c r="U47" s="441"/>
    </row>
    <row r="48" spans="1:21" ht="19.5" hidden="1" customHeight="1">
      <c r="C48" s="607"/>
      <c r="D48" s="607"/>
      <c r="E48" s="607"/>
      <c r="F48" s="607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1:21" ht="9" customHeight="1" thickBo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ht="24" customHeight="1" thickTop="1">
      <c r="A50" s="17"/>
      <c r="B50" s="17"/>
      <c r="C50" s="622" t="s">
        <v>101</v>
      </c>
      <c r="D50" s="623"/>
      <c r="E50" s="623"/>
      <c r="F50" s="130" t="s">
        <v>241</v>
      </c>
      <c r="G50" s="610" t="s">
        <v>240</v>
      </c>
      <c r="H50" s="611"/>
      <c r="I50" s="611"/>
      <c r="J50" s="611"/>
      <c r="K50" s="611"/>
      <c r="L50" s="611"/>
      <c r="M50" s="611"/>
      <c r="N50" s="611"/>
      <c r="O50" s="611"/>
      <c r="P50" s="611"/>
      <c r="Q50" s="611"/>
      <c r="R50" s="611"/>
      <c r="S50" s="611"/>
      <c r="T50" s="611"/>
      <c r="U50" s="612"/>
    </row>
    <row r="51" spans="1:21" ht="19.5" customHeight="1" thickBot="1">
      <c r="A51" s="17"/>
      <c r="B51" s="17"/>
      <c r="C51" s="624"/>
      <c r="D51" s="625"/>
      <c r="E51" s="625"/>
      <c r="F51" s="75" t="s">
        <v>64</v>
      </c>
      <c r="G51" s="78" t="s">
        <v>0</v>
      </c>
      <c r="H51" s="523" t="s">
        <v>1</v>
      </c>
      <c r="I51" s="523" t="s">
        <v>2</v>
      </c>
      <c r="J51" s="343" t="s">
        <v>3</v>
      </c>
      <c r="K51" s="343" t="s">
        <v>4</v>
      </c>
      <c r="L51" s="343" t="s">
        <v>5</v>
      </c>
      <c r="M51" s="343" t="s">
        <v>8</v>
      </c>
      <c r="N51" s="343" t="s">
        <v>9</v>
      </c>
      <c r="O51" s="343" t="s">
        <v>10</v>
      </c>
      <c r="P51" s="343" t="s">
        <v>7</v>
      </c>
      <c r="Q51" s="343" t="s">
        <v>6</v>
      </c>
      <c r="R51" s="343" t="s">
        <v>11</v>
      </c>
      <c r="S51" s="343" t="s">
        <v>12</v>
      </c>
      <c r="T51" s="343" t="s">
        <v>13</v>
      </c>
      <c r="U51" s="77" t="s">
        <v>62</v>
      </c>
    </row>
    <row r="52" spans="1:21" ht="19.5" customHeight="1">
      <c r="A52" s="70">
        <f t="shared" ref="A52:A57" si="36">IF(($C52=id.255),3,IF(($C52=id.256),4,IF(($C52=id.215),5,IF(($C52=id.200),7,IF(($C52=id.285),10,IF(($C52=id.210),12,IF(($C52=id.106),13,IF(($C52=id.310),14,IF(($C52=id.141),15,IF(($C52=id.360),16,IF(($C52=id.245),17,IF(($C52=id.225),18,IF(($C52=id.192),19,IF(($C52=id.196),20,IF(($C52=id.330),21,IF(($C52=id.675),22,IF(($C52=id.730),23,IF(($C52=id.855),24,IF(($C52=id.180),28,IF(($C52=id.185),29,IF(($C52=id.195),30,IF(($C52=id.240),31,IF(($C52=id.300),32,IF(($C52=id.177),33,IF(($C52=id.860),35,IF(($C52=id.840),36,IF(($C52=id.865),37,IF(($C52=id.800),38,IF(($C52=id.600),41,IF(($C52=id.x1),43,IF(($C52=id.x2),44,"42")))))))))))))))))))))))))))))))</f>
        <v>16</v>
      </c>
      <c r="B52" s="70"/>
      <c r="C52" s="620"/>
      <c r="D52" s="621"/>
      <c r="E52" s="621"/>
      <c r="F52" s="140"/>
      <c r="G52" s="421" t="str">
        <f t="shared" ref="G52:G57" ca="1" si="37">IF((INDIRECT("'PRODUCT DATA'!$L"&amp;$A52&amp;""))=0,"*",((INDIRECT("'PRODUCT DATA'!$H"&amp;$A52&amp;""))*(INDIRECT("'PRODUCT DATA'!$L"&amp;$A52&amp;"")))*($F52))</f>
        <v>*</v>
      </c>
      <c r="H52" s="422" t="str">
        <f t="shared" ref="H52:H57" ca="1" si="38">IF((INDIRECT("'PRODUCT DATA'!$N"&amp;$A52&amp;""))=0,"*",((INDIRECT("'PRODUCT DATA'!$H"&amp;$A52&amp;""))*(INDIRECT("'PRODUCT DATA'!$N"&amp;$A52&amp;"")))*($F52))</f>
        <v>*</v>
      </c>
      <c r="I52" s="422" t="str">
        <f t="shared" ref="I52:I57" ca="1" si="39">IF((INDIRECT("'PRODUCT DATA'!$P"&amp;$A52&amp;""))=0,"*",((INDIRECT("'PRODUCT DATA'!$H"&amp;$A52&amp;""))*(INDIRECT("'PRODUCT DATA'!$P"&amp;$A52&amp;"")))*($F52))</f>
        <v>*</v>
      </c>
      <c r="J52" s="422" t="str">
        <f t="shared" ref="J52:J57" ca="1" si="40">IF((INDIRECT("'PRODUCT DATA'!$Q"&amp;$A52&amp;""))=0,"*",((INDIRECT("'PRODUCT DATA'!$H"&amp;$A52&amp;""))*(INDIRECT("'PRODUCT DATA'!$Q"&amp;$A52&amp;"")))*($F52))</f>
        <v>*</v>
      </c>
      <c r="K52" s="422" t="str">
        <f t="shared" ref="K52:K57" ca="1" si="41">IF((INDIRECT("'PRODUCT DATA'!$R"&amp;$A52&amp;""))=0,"*",((INDIRECT("'PRODUCT DATA'!$H"&amp;$A52&amp;""))*(INDIRECT("'PRODUCT DATA'!$R"&amp;$A52&amp;"")))*($F52))</f>
        <v>*</v>
      </c>
      <c r="L52" s="422" t="str">
        <f t="shared" ref="L52:L57" ca="1" si="42">IF((INDIRECT("'PRODUCT DATA'!$S"&amp;$A52&amp;""))=0,"*",((INDIRECT("'PRODUCT DATA'!$H"&amp;$A52&amp;""))*(INDIRECT("'PRODUCT DATA'!$S"&amp;$A52&amp;"")))*($F52))</f>
        <v>*</v>
      </c>
      <c r="M52" s="422" t="str">
        <f t="shared" ref="M52:M57" ca="1" si="43">IF((INDIRECT("'PRODUCT DATA'!$T"&amp;$A52&amp;""))=0,"*",((INDIRECT("'PRODUCT DATA'!$H"&amp;$A52&amp;""))*(INDIRECT("'PRODUCT DATA'!$T"&amp;$A52&amp;"")))*($F52))</f>
        <v>*</v>
      </c>
      <c r="N52" s="422" t="str">
        <f t="shared" ref="N52:N57" ca="1" si="44">IF((INDIRECT("'PRODUCT DATA'!$U"&amp;$A52&amp;""))=0,"*",((INDIRECT("'PRODUCT DATA'!$H"&amp;$A52&amp;""))*(INDIRECT("'PRODUCT DATA'!$U"&amp;$A52&amp;"")))*($F52))</f>
        <v>*</v>
      </c>
      <c r="O52" s="422" t="str">
        <f t="shared" ref="O52:O57" ca="1" si="45">IF((INDIRECT("'PRODUCT DATA'!$V"&amp;$A52&amp;""))=0,"*",((INDIRECT("'PRODUCT DATA'!$H"&amp;$A52&amp;""))*(INDIRECT("'PRODUCT DATA'!$V"&amp;$A52&amp;"")))*($F52))</f>
        <v>*</v>
      </c>
      <c r="P52" s="422" t="str">
        <f t="shared" ref="P52:P57" ca="1" si="46">IF((INDIRECT("'PRODUCT DATA'!$W"&amp;$A52&amp;""))=0,"*",((INDIRECT("'PRODUCT DATA'!$H"&amp;$A52&amp;""))*(INDIRECT("'PRODUCT DATA'!$W"&amp;$A52&amp;"")))*($F52))</f>
        <v>*</v>
      </c>
      <c r="Q52" s="422" t="str">
        <f t="shared" ref="Q52:Q57" ca="1" si="47">IF((INDIRECT("'PRODUCT DATA'!$X"&amp;$A52&amp;""))=0,"*",((INDIRECT("'PRODUCT DATA'!$H"&amp;$A52&amp;""))*(INDIRECT("'PRODUCT DATA'!$X"&amp;$A52&amp;"")))*($F52))</f>
        <v>*</v>
      </c>
      <c r="R52" s="423" t="str">
        <f t="shared" ref="R52:R57" ca="1" si="48">IF((INDIRECT("'PRODUCT DATA'!$Y"&amp;$A52&amp;""))=0,"*",((INDIRECT("'PRODUCT DATA'!$H"&amp;$A52&amp;""))*(INDIRECT("'PRODUCT DATA'!$Y"&amp;$A52&amp;"")))*($F52))</f>
        <v>*</v>
      </c>
      <c r="S52" s="423" t="str">
        <f t="shared" ref="S52:S57" ca="1" si="49">IF((INDIRECT("'PRODUCT DATA'!$Z"&amp;$A52&amp;""))=0,"*",((INDIRECT("'PRODUCT DATA'!$H"&amp;$A52&amp;""))*(INDIRECT("'PRODUCT DATA'!$Z"&amp;$A52&amp;"")))*($F52))</f>
        <v>*</v>
      </c>
      <c r="T52" s="423" t="str">
        <f t="shared" ref="T52:T57" ca="1" si="50">IF((INDIRECT("'PRODUCT DATA'!$AA"&amp;$A52&amp;""))=0,"*",((INDIRECT("'PRODUCT DATA'!$H"&amp;$A52&amp;""))*(INDIRECT("'PRODUCT DATA'!$AA"&amp;$A52&amp;"")))*($F52))</f>
        <v>*</v>
      </c>
      <c r="U52" s="424" t="str">
        <f t="shared" ref="U52:U57" ca="1" si="51">IF((INDIRECT("'PRODUCT DATA'!$AB"&amp;$A52&amp;""))=0,"*",((INDIRECT("'PRODUCT DATA'!$H"&amp;$A52&amp;""))*(INDIRECT("'PRODUCT DATA'!$AB"&amp;$A52&amp;"")))*($F52))</f>
        <v>*</v>
      </c>
    </row>
    <row r="53" spans="1:21" ht="19.5" customHeight="1">
      <c r="A53" s="70">
        <f t="shared" si="36"/>
        <v>16</v>
      </c>
      <c r="B53" s="70"/>
      <c r="C53" s="597"/>
      <c r="D53" s="598"/>
      <c r="E53" s="598"/>
      <c r="F53" s="141"/>
      <c r="G53" s="425" t="str">
        <f t="shared" ca="1" si="37"/>
        <v>*</v>
      </c>
      <c r="H53" s="426" t="str">
        <f t="shared" ca="1" si="38"/>
        <v>*</v>
      </c>
      <c r="I53" s="426" t="str">
        <f t="shared" ca="1" si="39"/>
        <v>*</v>
      </c>
      <c r="J53" s="426" t="str">
        <f t="shared" ca="1" si="40"/>
        <v>*</v>
      </c>
      <c r="K53" s="426" t="str">
        <f t="shared" ca="1" si="41"/>
        <v>*</v>
      </c>
      <c r="L53" s="426" t="str">
        <f t="shared" ca="1" si="42"/>
        <v>*</v>
      </c>
      <c r="M53" s="426" t="str">
        <f t="shared" ca="1" si="43"/>
        <v>*</v>
      </c>
      <c r="N53" s="426" t="str">
        <f t="shared" ca="1" si="44"/>
        <v>*</v>
      </c>
      <c r="O53" s="426" t="str">
        <f t="shared" ca="1" si="45"/>
        <v>*</v>
      </c>
      <c r="P53" s="426" t="str">
        <f t="shared" ca="1" si="46"/>
        <v>*</v>
      </c>
      <c r="Q53" s="426" t="str">
        <f t="shared" ca="1" si="47"/>
        <v>*</v>
      </c>
      <c r="R53" s="427" t="str">
        <f t="shared" ca="1" si="48"/>
        <v>*</v>
      </c>
      <c r="S53" s="427" t="str">
        <f t="shared" ca="1" si="49"/>
        <v>*</v>
      </c>
      <c r="T53" s="427" t="str">
        <f t="shared" ca="1" si="50"/>
        <v>*</v>
      </c>
      <c r="U53" s="428" t="str">
        <f t="shared" ca="1" si="51"/>
        <v>*</v>
      </c>
    </row>
    <row r="54" spans="1:21" ht="19.5" customHeight="1">
      <c r="A54" s="70">
        <f t="shared" si="36"/>
        <v>16</v>
      </c>
      <c r="B54" s="70"/>
      <c r="C54" s="597"/>
      <c r="D54" s="598"/>
      <c r="E54" s="598"/>
      <c r="F54" s="141"/>
      <c r="G54" s="429" t="str">
        <f t="shared" ca="1" si="37"/>
        <v>*</v>
      </c>
      <c r="H54" s="430" t="str">
        <f t="shared" ca="1" si="38"/>
        <v>*</v>
      </c>
      <c r="I54" s="430" t="str">
        <f t="shared" ca="1" si="39"/>
        <v>*</v>
      </c>
      <c r="J54" s="430" t="str">
        <f t="shared" ca="1" si="40"/>
        <v>*</v>
      </c>
      <c r="K54" s="430" t="str">
        <f t="shared" ca="1" si="41"/>
        <v>*</v>
      </c>
      <c r="L54" s="430" t="str">
        <f t="shared" ca="1" si="42"/>
        <v>*</v>
      </c>
      <c r="M54" s="430" t="str">
        <f t="shared" ca="1" si="43"/>
        <v>*</v>
      </c>
      <c r="N54" s="430" t="str">
        <f t="shared" ca="1" si="44"/>
        <v>*</v>
      </c>
      <c r="O54" s="430" t="str">
        <f t="shared" ca="1" si="45"/>
        <v>*</v>
      </c>
      <c r="P54" s="430" t="str">
        <f t="shared" ca="1" si="46"/>
        <v>*</v>
      </c>
      <c r="Q54" s="430" t="str">
        <f t="shared" ca="1" si="47"/>
        <v>*</v>
      </c>
      <c r="R54" s="431" t="str">
        <f t="shared" ca="1" si="48"/>
        <v>*</v>
      </c>
      <c r="S54" s="431" t="str">
        <f t="shared" ca="1" si="49"/>
        <v>*</v>
      </c>
      <c r="T54" s="431" t="str">
        <f t="shared" ca="1" si="50"/>
        <v>*</v>
      </c>
      <c r="U54" s="432" t="str">
        <f t="shared" ca="1" si="51"/>
        <v>*</v>
      </c>
    </row>
    <row r="55" spans="1:21" ht="19.5" customHeight="1">
      <c r="A55" s="70">
        <f t="shared" si="36"/>
        <v>16</v>
      </c>
      <c r="B55" s="70"/>
      <c r="C55" s="597"/>
      <c r="D55" s="598"/>
      <c r="E55" s="598"/>
      <c r="F55" s="141"/>
      <c r="G55" s="429" t="str">
        <f t="shared" ca="1" si="37"/>
        <v>*</v>
      </c>
      <c r="H55" s="430" t="str">
        <f t="shared" ca="1" si="38"/>
        <v>*</v>
      </c>
      <c r="I55" s="430" t="str">
        <f t="shared" ca="1" si="39"/>
        <v>*</v>
      </c>
      <c r="J55" s="430" t="str">
        <f t="shared" ca="1" si="40"/>
        <v>*</v>
      </c>
      <c r="K55" s="430" t="str">
        <f t="shared" ca="1" si="41"/>
        <v>*</v>
      </c>
      <c r="L55" s="430" t="str">
        <f t="shared" ca="1" si="42"/>
        <v>*</v>
      </c>
      <c r="M55" s="430" t="str">
        <f t="shared" ca="1" si="43"/>
        <v>*</v>
      </c>
      <c r="N55" s="430" t="str">
        <f t="shared" ca="1" si="44"/>
        <v>*</v>
      </c>
      <c r="O55" s="430" t="str">
        <f t="shared" ca="1" si="45"/>
        <v>*</v>
      </c>
      <c r="P55" s="430" t="str">
        <f t="shared" ca="1" si="46"/>
        <v>*</v>
      </c>
      <c r="Q55" s="430" t="str">
        <f t="shared" ca="1" si="47"/>
        <v>*</v>
      </c>
      <c r="R55" s="431" t="str">
        <f t="shared" ca="1" si="48"/>
        <v>*</v>
      </c>
      <c r="S55" s="431" t="str">
        <f t="shared" ca="1" si="49"/>
        <v>*</v>
      </c>
      <c r="T55" s="431" t="str">
        <f t="shared" ca="1" si="50"/>
        <v>*</v>
      </c>
      <c r="U55" s="432" t="str">
        <f t="shared" ca="1" si="51"/>
        <v>*</v>
      </c>
    </row>
    <row r="56" spans="1:21" ht="19.5" customHeight="1">
      <c r="A56" s="70">
        <f t="shared" si="36"/>
        <v>16</v>
      </c>
      <c r="B56" s="70"/>
      <c r="C56" s="597"/>
      <c r="D56" s="598"/>
      <c r="E56" s="598"/>
      <c r="F56" s="141"/>
      <c r="G56" s="429" t="str">
        <f t="shared" ca="1" si="37"/>
        <v>*</v>
      </c>
      <c r="H56" s="430" t="str">
        <f t="shared" ca="1" si="38"/>
        <v>*</v>
      </c>
      <c r="I56" s="430" t="str">
        <f t="shared" ca="1" si="39"/>
        <v>*</v>
      </c>
      <c r="J56" s="430" t="str">
        <f t="shared" ca="1" si="40"/>
        <v>*</v>
      </c>
      <c r="K56" s="430" t="str">
        <f t="shared" ca="1" si="41"/>
        <v>*</v>
      </c>
      <c r="L56" s="430" t="str">
        <f t="shared" ca="1" si="42"/>
        <v>*</v>
      </c>
      <c r="M56" s="430" t="str">
        <f t="shared" ca="1" si="43"/>
        <v>*</v>
      </c>
      <c r="N56" s="430" t="str">
        <f t="shared" ca="1" si="44"/>
        <v>*</v>
      </c>
      <c r="O56" s="430" t="str">
        <f t="shared" ca="1" si="45"/>
        <v>*</v>
      </c>
      <c r="P56" s="430" t="str">
        <f t="shared" ca="1" si="46"/>
        <v>*</v>
      </c>
      <c r="Q56" s="430" t="str">
        <f t="shared" ca="1" si="47"/>
        <v>*</v>
      </c>
      <c r="R56" s="431" t="str">
        <f t="shared" ca="1" si="48"/>
        <v>*</v>
      </c>
      <c r="S56" s="431" t="str">
        <f t="shared" ca="1" si="49"/>
        <v>*</v>
      </c>
      <c r="T56" s="431" t="str">
        <f t="shared" ca="1" si="50"/>
        <v>*</v>
      </c>
      <c r="U56" s="432" t="str">
        <f t="shared" ca="1" si="51"/>
        <v>*</v>
      </c>
    </row>
    <row r="57" spans="1:21" ht="19.5" customHeight="1" thickBot="1">
      <c r="A57" s="70">
        <f t="shared" si="36"/>
        <v>16</v>
      </c>
      <c r="B57" s="70"/>
      <c r="C57" s="601"/>
      <c r="D57" s="602"/>
      <c r="E57" s="602"/>
      <c r="F57" s="142"/>
      <c r="G57" s="433" t="str">
        <f t="shared" ca="1" si="37"/>
        <v>*</v>
      </c>
      <c r="H57" s="434" t="str">
        <f t="shared" ca="1" si="38"/>
        <v>*</v>
      </c>
      <c r="I57" s="434" t="str">
        <f t="shared" ca="1" si="39"/>
        <v>*</v>
      </c>
      <c r="J57" s="434" t="str">
        <f t="shared" ca="1" si="40"/>
        <v>*</v>
      </c>
      <c r="K57" s="434" t="str">
        <f t="shared" ca="1" si="41"/>
        <v>*</v>
      </c>
      <c r="L57" s="434" t="str">
        <f t="shared" ca="1" si="42"/>
        <v>*</v>
      </c>
      <c r="M57" s="434" t="str">
        <f t="shared" ca="1" si="43"/>
        <v>*</v>
      </c>
      <c r="N57" s="434" t="str">
        <f t="shared" ca="1" si="44"/>
        <v>*</v>
      </c>
      <c r="O57" s="434" t="str">
        <f t="shared" ca="1" si="45"/>
        <v>*</v>
      </c>
      <c r="P57" s="434" t="str">
        <f t="shared" ca="1" si="46"/>
        <v>*</v>
      </c>
      <c r="Q57" s="434" t="str">
        <f t="shared" ca="1" si="47"/>
        <v>*</v>
      </c>
      <c r="R57" s="435" t="str">
        <f t="shared" ca="1" si="48"/>
        <v>*</v>
      </c>
      <c r="S57" s="435" t="str">
        <f t="shared" ca="1" si="49"/>
        <v>*</v>
      </c>
      <c r="T57" s="435" t="str">
        <f t="shared" ca="1" si="50"/>
        <v>*</v>
      </c>
      <c r="U57" s="436" t="str">
        <f t="shared" ca="1" si="51"/>
        <v>*</v>
      </c>
    </row>
    <row r="58" spans="1:21" ht="19.5" customHeight="1" thickBot="1">
      <c r="C58" s="603" t="s">
        <v>139</v>
      </c>
      <c r="D58" s="604"/>
      <c r="E58" s="604"/>
      <c r="F58" s="605"/>
      <c r="G58" s="437" t="str">
        <f t="shared" ref="G58:U58" ca="1" si="52">IF(SUM(G52:G57)=0,"0",SUM(G52:G57))</f>
        <v>0</v>
      </c>
      <c r="H58" s="437" t="str">
        <f t="shared" ca="1" si="52"/>
        <v>0</v>
      </c>
      <c r="I58" s="437" t="str">
        <f t="shared" ca="1" si="52"/>
        <v>0</v>
      </c>
      <c r="J58" s="437" t="str">
        <f t="shared" ca="1" si="52"/>
        <v>0</v>
      </c>
      <c r="K58" s="437" t="str">
        <f t="shared" ca="1" si="52"/>
        <v>0</v>
      </c>
      <c r="L58" s="437" t="str">
        <f t="shared" ca="1" si="52"/>
        <v>0</v>
      </c>
      <c r="M58" s="437" t="str">
        <f t="shared" ca="1" si="52"/>
        <v>0</v>
      </c>
      <c r="N58" s="437" t="str">
        <f t="shared" ca="1" si="52"/>
        <v>0</v>
      </c>
      <c r="O58" s="437" t="str">
        <f t="shared" ca="1" si="52"/>
        <v>0</v>
      </c>
      <c r="P58" s="437" t="str">
        <f t="shared" ca="1" si="52"/>
        <v>0</v>
      </c>
      <c r="Q58" s="438" t="str">
        <f t="shared" ca="1" si="52"/>
        <v>0</v>
      </c>
      <c r="R58" s="438" t="str">
        <f t="shared" ca="1" si="52"/>
        <v>0</v>
      </c>
      <c r="S58" s="438" t="str">
        <f t="shared" ca="1" si="52"/>
        <v>0</v>
      </c>
      <c r="T58" s="438" t="str">
        <f t="shared" ca="1" si="52"/>
        <v>0</v>
      </c>
      <c r="U58" s="439" t="str">
        <f t="shared" ca="1" si="52"/>
        <v>0</v>
      </c>
    </row>
    <row r="59" spans="1:21" ht="19.5" customHeight="1" thickTop="1">
      <c r="C59" s="607" t="s">
        <v>261</v>
      </c>
      <c r="D59" s="607"/>
      <c r="E59" s="607"/>
      <c r="F59" s="607"/>
      <c r="G59" s="440">
        <f t="shared" ref="G59:U59" ca="1" si="53">G58*$M$14</f>
        <v>0</v>
      </c>
      <c r="H59" s="440">
        <f t="shared" ca="1" si="53"/>
        <v>0</v>
      </c>
      <c r="I59" s="440">
        <f t="shared" ca="1" si="53"/>
        <v>0</v>
      </c>
      <c r="J59" s="440">
        <f t="shared" ca="1" si="53"/>
        <v>0</v>
      </c>
      <c r="K59" s="440">
        <f t="shared" ca="1" si="53"/>
        <v>0</v>
      </c>
      <c r="L59" s="440">
        <f t="shared" ca="1" si="53"/>
        <v>0</v>
      </c>
      <c r="M59" s="440">
        <f t="shared" ca="1" si="53"/>
        <v>0</v>
      </c>
      <c r="N59" s="440">
        <f t="shared" ca="1" si="53"/>
        <v>0</v>
      </c>
      <c r="O59" s="440">
        <f t="shared" ca="1" si="53"/>
        <v>0</v>
      </c>
      <c r="P59" s="440">
        <f t="shared" ca="1" si="53"/>
        <v>0</v>
      </c>
      <c r="Q59" s="441">
        <f t="shared" ca="1" si="53"/>
        <v>0</v>
      </c>
      <c r="R59" s="441">
        <f t="shared" ca="1" si="53"/>
        <v>0</v>
      </c>
      <c r="S59" s="441">
        <f t="shared" ca="1" si="53"/>
        <v>0</v>
      </c>
      <c r="T59" s="441">
        <f t="shared" ca="1" si="53"/>
        <v>0</v>
      </c>
      <c r="U59" s="441">
        <f t="shared" ca="1" si="53"/>
        <v>0</v>
      </c>
    </row>
    <row r="60" spans="1:21" ht="19.5" hidden="1" customHeight="1">
      <c r="C60" s="607"/>
      <c r="D60" s="607"/>
      <c r="E60" s="607"/>
      <c r="F60" s="607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1"/>
      <c r="R60" s="441"/>
      <c r="S60" s="441"/>
      <c r="T60" s="441"/>
      <c r="U60" s="441"/>
    </row>
    <row r="61" spans="1:21" ht="9.75" customHeight="1" thickBot="1">
      <c r="C61" s="607"/>
      <c r="D61" s="607"/>
      <c r="E61" s="607"/>
      <c r="F61" s="607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 ht="24" customHeight="1" thickTop="1">
      <c r="A62" s="17"/>
      <c r="B62" s="17"/>
      <c r="C62" s="661" t="s">
        <v>204</v>
      </c>
      <c r="D62" s="662"/>
      <c r="E62" s="662"/>
      <c r="F62" s="130" t="s">
        <v>241</v>
      </c>
      <c r="G62" s="610" t="s">
        <v>240</v>
      </c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2"/>
    </row>
    <row r="63" spans="1:21" ht="19.5" customHeight="1" thickBot="1">
      <c r="A63" s="17"/>
      <c r="B63" s="17"/>
      <c r="C63" s="663"/>
      <c r="D63" s="664"/>
      <c r="E63" s="664"/>
      <c r="F63" s="75" t="s">
        <v>64</v>
      </c>
      <c r="G63" s="78" t="s">
        <v>0</v>
      </c>
      <c r="H63" s="523" t="s">
        <v>1</v>
      </c>
      <c r="I63" s="523" t="s">
        <v>2</v>
      </c>
      <c r="J63" s="343" t="s">
        <v>3</v>
      </c>
      <c r="K63" s="343" t="s">
        <v>4</v>
      </c>
      <c r="L63" s="343" t="s">
        <v>5</v>
      </c>
      <c r="M63" s="343" t="s">
        <v>8</v>
      </c>
      <c r="N63" s="343" t="s">
        <v>9</v>
      </c>
      <c r="O63" s="343" t="s">
        <v>10</v>
      </c>
      <c r="P63" s="343" t="s">
        <v>7</v>
      </c>
      <c r="Q63" s="343" t="s">
        <v>6</v>
      </c>
      <c r="R63" s="343" t="s">
        <v>11</v>
      </c>
      <c r="S63" s="343" t="s">
        <v>12</v>
      </c>
      <c r="T63" s="343" t="s">
        <v>13</v>
      </c>
      <c r="U63" s="77" t="s">
        <v>62</v>
      </c>
    </row>
    <row r="64" spans="1:21" ht="19.5" customHeight="1">
      <c r="A64" s="70">
        <f t="shared" ref="A64:A69" si="54">IF(($C64=id.255),3,IF(($C64=id.256),4,IF(($C64=id.215),5,IF(($C64=id.200),7,IF(($C64=id.285),10,IF(($C64=id.210),12,IF(($C64=id.106),13,IF(($C64=id.310),14,IF(($C64=id.141),15,IF(($C64=id.360),16,IF(($C64=id.245),17,IF(($C64=id.225),18,IF(($C64=id.192),19,IF(($C64=id.196),20,IF(($C64=id.330),21,IF(($C64=id.675),22,IF(($C64=id.730),23,IF(($C64=id.855),24,IF(($C64=id.180),28,IF(($C64=id.185),29,IF(($C64=id.195),30,IF(($C64=id.240),31,IF(($C64=id.300),32,IF(($C64=id.177),33,IF(($C64=id.860),35,IF(($C64=id.840),36,IF(($C64=id.865),37,IF(($C64=id.800),38,IF(($C64=id.600),41,IF(($C64=id.x1),43,IF(($C64=id.x2),44,"42")))))))))))))))))))))))))))))))</f>
        <v>16</v>
      </c>
      <c r="B64" s="70"/>
      <c r="C64" s="620"/>
      <c r="D64" s="621"/>
      <c r="E64" s="621"/>
      <c r="F64" s="140"/>
      <c r="G64" s="421" t="str">
        <f t="shared" ref="G64:G69" ca="1" si="55">IF((INDIRECT("'PRODUCT DATA'!$L"&amp;$A64&amp;""))=0,"*",((INDIRECT("'PRODUCT DATA'!$H"&amp;$A64&amp;""))*(INDIRECT("'PRODUCT DATA'!$L"&amp;$A64&amp;"")))*($F64))</f>
        <v>*</v>
      </c>
      <c r="H64" s="422" t="str">
        <f t="shared" ref="H64:H69" ca="1" si="56">IF((INDIRECT("'PRODUCT DATA'!$N"&amp;$A64&amp;""))=0,"*",((INDIRECT("'PRODUCT DATA'!$H"&amp;$A64&amp;""))*(INDIRECT("'PRODUCT DATA'!$N"&amp;$A64&amp;"")))*($F64))</f>
        <v>*</v>
      </c>
      <c r="I64" s="422" t="str">
        <f t="shared" ref="I64:I69" ca="1" si="57">IF((INDIRECT("'PRODUCT DATA'!$P"&amp;$A64&amp;""))=0,"*",((INDIRECT("'PRODUCT DATA'!$H"&amp;$A64&amp;""))*(INDIRECT("'PRODUCT DATA'!$P"&amp;$A64&amp;"")))*($F64))</f>
        <v>*</v>
      </c>
      <c r="J64" s="422" t="str">
        <f t="shared" ref="J64:J69" ca="1" si="58">IF((INDIRECT("'PRODUCT DATA'!$Q"&amp;$A64&amp;""))=0,"*",((INDIRECT("'PRODUCT DATA'!$H"&amp;$A64&amp;""))*(INDIRECT("'PRODUCT DATA'!$Q"&amp;$A64&amp;"")))*($F64))</f>
        <v>*</v>
      </c>
      <c r="K64" s="422" t="str">
        <f t="shared" ref="K64:K69" ca="1" si="59">IF((INDIRECT("'PRODUCT DATA'!$R"&amp;$A64&amp;""))=0,"*",((INDIRECT("'PRODUCT DATA'!$H"&amp;$A64&amp;""))*(INDIRECT("'PRODUCT DATA'!$R"&amp;$A64&amp;"")))*($F64))</f>
        <v>*</v>
      </c>
      <c r="L64" s="422" t="str">
        <f t="shared" ref="L64:L69" ca="1" si="60">IF((INDIRECT("'PRODUCT DATA'!$S"&amp;$A64&amp;""))=0,"*",((INDIRECT("'PRODUCT DATA'!$H"&amp;$A64&amp;""))*(INDIRECT("'PRODUCT DATA'!$S"&amp;$A64&amp;"")))*($F64))</f>
        <v>*</v>
      </c>
      <c r="M64" s="422" t="str">
        <f t="shared" ref="M64:M69" ca="1" si="61">IF((INDIRECT("'PRODUCT DATA'!$T"&amp;$A64&amp;""))=0,"*",((INDIRECT("'PRODUCT DATA'!$H"&amp;$A64&amp;""))*(INDIRECT("'PRODUCT DATA'!$T"&amp;$A64&amp;"")))*($F64))</f>
        <v>*</v>
      </c>
      <c r="N64" s="422" t="str">
        <f t="shared" ref="N64:N69" ca="1" si="62">IF((INDIRECT("'PRODUCT DATA'!$U"&amp;$A64&amp;""))=0,"*",((INDIRECT("'PRODUCT DATA'!$H"&amp;$A64&amp;""))*(INDIRECT("'PRODUCT DATA'!$U"&amp;$A64&amp;"")))*($F64))</f>
        <v>*</v>
      </c>
      <c r="O64" s="422" t="str">
        <f t="shared" ref="O64:O69" ca="1" si="63">IF((INDIRECT("'PRODUCT DATA'!$V"&amp;$A64&amp;""))=0,"*",((INDIRECT("'PRODUCT DATA'!$H"&amp;$A64&amp;""))*(INDIRECT("'PRODUCT DATA'!$V"&amp;$A64&amp;"")))*($F64))</f>
        <v>*</v>
      </c>
      <c r="P64" s="422" t="str">
        <f t="shared" ref="P64:P69" ca="1" si="64">IF((INDIRECT("'PRODUCT DATA'!$W"&amp;$A64&amp;""))=0,"*",((INDIRECT("'PRODUCT DATA'!$H"&amp;$A64&amp;""))*(INDIRECT("'PRODUCT DATA'!$W"&amp;$A64&amp;"")))*($F64))</f>
        <v>*</v>
      </c>
      <c r="Q64" s="422" t="str">
        <f t="shared" ref="Q64:Q69" ca="1" si="65">IF((INDIRECT("'PRODUCT DATA'!$X"&amp;$A64&amp;""))=0,"*",((INDIRECT("'PRODUCT DATA'!$H"&amp;$A64&amp;""))*(INDIRECT("'PRODUCT DATA'!$X"&amp;$A64&amp;"")))*($F64))</f>
        <v>*</v>
      </c>
      <c r="R64" s="423" t="str">
        <f t="shared" ref="R64:R69" ca="1" si="66">IF((INDIRECT("'PRODUCT DATA'!$Y"&amp;$A64&amp;""))=0,"*",((INDIRECT("'PRODUCT DATA'!$H"&amp;$A64&amp;""))*(INDIRECT("'PRODUCT DATA'!$Y"&amp;$A64&amp;"")))*($F64))</f>
        <v>*</v>
      </c>
      <c r="S64" s="423" t="str">
        <f t="shared" ref="S64:S69" ca="1" si="67">IF((INDIRECT("'PRODUCT DATA'!$Z"&amp;$A64&amp;""))=0,"*",((INDIRECT("'PRODUCT DATA'!$H"&amp;$A64&amp;""))*(INDIRECT("'PRODUCT DATA'!$Z"&amp;$A64&amp;"")))*($F64))</f>
        <v>*</v>
      </c>
      <c r="T64" s="423" t="str">
        <f t="shared" ref="T64:T69" ca="1" si="68">IF((INDIRECT("'PRODUCT DATA'!$AA"&amp;$A64&amp;""))=0,"*",((INDIRECT("'PRODUCT DATA'!$H"&amp;$A64&amp;""))*(INDIRECT("'PRODUCT DATA'!$AA"&amp;$A64&amp;"")))*($F64))</f>
        <v>*</v>
      </c>
      <c r="U64" s="424" t="str">
        <f t="shared" ref="U64:U69" ca="1" si="69">IF((INDIRECT("'PRODUCT DATA'!$AB"&amp;$A64&amp;""))=0,"*",((INDIRECT("'PRODUCT DATA'!$H"&amp;$A64&amp;""))*(INDIRECT("'PRODUCT DATA'!$AB"&amp;$A64&amp;"")))*($F64))</f>
        <v>*</v>
      </c>
    </row>
    <row r="65" spans="1:21" ht="19.5" customHeight="1">
      <c r="A65" s="70">
        <f t="shared" si="54"/>
        <v>16</v>
      </c>
      <c r="B65" s="70"/>
      <c r="C65" s="597"/>
      <c r="D65" s="598"/>
      <c r="E65" s="598"/>
      <c r="F65" s="277"/>
      <c r="G65" s="425" t="str">
        <f t="shared" ca="1" si="55"/>
        <v>*</v>
      </c>
      <c r="H65" s="426" t="str">
        <f t="shared" ca="1" si="56"/>
        <v>*</v>
      </c>
      <c r="I65" s="426" t="str">
        <f t="shared" ca="1" si="57"/>
        <v>*</v>
      </c>
      <c r="J65" s="426" t="str">
        <f t="shared" ca="1" si="58"/>
        <v>*</v>
      </c>
      <c r="K65" s="426" t="str">
        <f t="shared" ca="1" si="59"/>
        <v>*</v>
      </c>
      <c r="L65" s="426" t="str">
        <f t="shared" ca="1" si="60"/>
        <v>*</v>
      </c>
      <c r="M65" s="426" t="str">
        <f t="shared" ca="1" si="61"/>
        <v>*</v>
      </c>
      <c r="N65" s="426" t="str">
        <f t="shared" ca="1" si="62"/>
        <v>*</v>
      </c>
      <c r="O65" s="426" t="str">
        <f t="shared" ca="1" si="63"/>
        <v>*</v>
      </c>
      <c r="P65" s="426" t="str">
        <f t="shared" ca="1" si="64"/>
        <v>*</v>
      </c>
      <c r="Q65" s="426" t="str">
        <f t="shared" ca="1" si="65"/>
        <v>*</v>
      </c>
      <c r="R65" s="427" t="str">
        <f t="shared" ca="1" si="66"/>
        <v>*</v>
      </c>
      <c r="S65" s="427" t="str">
        <f t="shared" ca="1" si="67"/>
        <v>*</v>
      </c>
      <c r="T65" s="427" t="str">
        <f t="shared" ca="1" si="68"/>
        <v>*</v>
      </c>
      <c r="U65" s="428" t="str">
        <f t="shared" ca="1" si="69"/>
        <v>*</v>
      </c>
    </row>
    <row r="66" spans="1:21" ht="19.5" customHeight="1">
      <c r="A66" s="70">
        <f t="shared" si="54"/>
        <v>16</v>
      </c>
      <c r="B66" s="70"/>
      <c r="C66" s="597"/>
      <c r="D66" s="598"/>
      <c r="E66" s="598"/>
      <c r="F66" s="141"/>
      <c r="G66" s="429" t="str">
        <f t="shared" ca="1" si="55"/>
        <v>*</v>
      </c>
      <c r="H66" s="430" t="str">
        <f t="shared" ca="1" si="56"/>
        <v>*</v>
      </c>
      <c r="I66" s="430" t="str">
        <f t="shared" ca="1" si="57"/>
        <v>*</v>
      </c>
      <c r="J66" s="430" t="str">
        <f t="shared" ca="1" si="58"/>
        <v>*</v>
      </c>
      <c r="K66" s="430" t="str">
        <f t="shared" ca="1" si="59"/>
        <v>*</v>
      </c>
      <c r="L66" s="430" t="str">
        <f t="shared" ca="1" si="60"/>
        <v>*</v>
      </c>
      <c r="M66" s="430" t="str">
        <f t="shared" ca="1" si="61"/>
        <v>*</v>
      </c>
      <c r="N66" s="430" t="str">
        <f t="shared" ca="1" si="62"/>
        <v>*</v>
      </c>
      <c r="O66" s="430" t="str">
        <f t="shared" ca="1" si="63"/>
        <v>*</v>
      </c>
      <c r="P66" s="430" t="str">
        <f t="shared" ca="1" si="64"/>
        <v>*</v>
      </c>
      <c r="Q66" s="430" t="str">
        <f t="shared" ca="1" si="65"/>
        <v>*</v>
      </c>
      <c r="R66" s="431" t="str">
        <f t="shared" ca="1" si="66"/>
        <v>*</v>
      </c>
      <c r="S66" s="431" t="str">
        <f t="shared" ca="1" si="67"/>
        <v>*</v>
      </c>
      <c r="T66" s="431" t="str">
        <f t="shared" ca="1" si="68"/>
        <v>*</v>
      </c>
      <c r="U66" s="432" t="str">
        <f t="shared" ca="1" si="69"/>
        <v>*</v>
      </c>
    </row>
    <row r="67" spans="1:21" ht="19.5" customHeight="1">
      <c r="A67" s="70">
        <f t="shared" si="54"/>
        <v>16</v>
      </c>
      <c r="B67" s="70"/>
      <c r="C67" s="597"/>
      <c r="D67" s="598"/>
      <c r="E67" s="598"/>
      <c r="F67" s="141"/>
      <c r="G67" s="429" t="str">
        <f t="shared" ca="1" si="55"/>
        <v>*</v>
      </c>
      <c r="H67" s="430" t="str">
        <f t="shared" ca="1" si="56"/>
        <v>*</v>
      </c>
      <c r="I67" s="430" t="str">
        <f t="shared" ca="1" si="57"/>
        <v>*</v>
      </c>
      <c r="J67" s="430" t="str">
        <f t="shared" ca="1" si="58"/>
        <v>*</v>
      </c>
      <c r="K67" s="430" t="str">
        <f t="shared" ca="1" si="59"/>
        <v>*</v>
      </c>
      <c r="L67" s="430" t="str">
        <f t="shared" ca="1" si="60"/>
        <v>*</v>
      </c>
      <c r="M67" s="430" t="str">
        <f t="shared" ca="1" si="61"/>
        <v>*</v>
      </c>
      <c r="N67" s="430" t="str">
        <f t="shared" ca="1" si="62"/>
        <v>*</v>
      </c>
      <c r="O67" s="430" t="str">
        <f t="shared" ca="1" si="63"/>
        <v>*</v>
      </c>
      <c r="P67" s="430" t="str">
        <f t="shared" ca="1" si="64"/>
        <v>*</v>
      </c>
      <c r="Q67" s="430" t="str">
        <f t="shared" ca="1" si="65"/>
        <v>*</v>
      </c>
      <c r="R67" s="431" t="str">
        <f t="shared" ca="1" si="66"/>
        <v>*</v>
      </c>
      <c r="S67" s="431" t="str">
        <f t="shared" ca="1" si="67"/>
        <v>*</v>
      </c>
      <c r="T67" s="431" t="str">
        <f t="shared" ca="1" si="68"/>
        <v>*</v>
      </c>
      <c r="U67" s="432" t="str">
        <f t="shared" ca="1" si="69"/>
        <v>*</v>
      </c>
    </row>
    <row r="68" spans="1:21" ht="19.5" customHeight="1">
      <c r="A68" s="70">
        <f t="shared" si="54"/>
        <v>16</v>
      </c>
      <c r="B68" s="70"/>
      <c r="C68" s="597"/>
      <c r="D68" s="598"/>
      <c r="E68" s="598"/>
      <c r="F68" s="141"/>
      <c r="G68" s="429" t="str">
        <f t="shared" ca="1" si="55"/>
        <v>*</v>
      </c>
      <c r="H68" s="430" t="str">
        <f t="shared" ca="1" si="56"/>
        <v>*</v>
      </c>
      <c r="I68" s="430" t="str">
        <f t="shared" ca="1" si="57"/>
        <v>*</v>
      </c>
      <c r="J68" s="430" t="str">
        <f t="shared" ca="1" si="58"/>
        <v>*</v>
      </c>
      <c r="K68" s="430" t="str">
        <f t="shared" ca="1" si="59"/>
        <v>*</v>
      </c>
      <c r="L68" s="430" t="str">
        <f t="shared" ca="1" si="60"/>
        <v>*</v>
      </c>
      <c r="M68" s="430" t="str">
        <f t="shared" ca="1" si="61"/>
        <v>*</v>
      </c>
      <c r="N68" s="430" t="str">
        <f t="shared" ca="1" si="62"/>
        <v>*</v>
      </c>
      <c r="O68" s="430" t="str">
        <f t="shared" ca="1" si="63"/>
        <v>*</v>
      </c>
      <c r="P68" s="430" t="str">
        <f t="shared" ca="1" si="64"/>
        <v>*</v>
      </c>
      <c r="Q68" s="430" t="str">
        <f t="shared" ca="1" si="65"/>
        <v>*</v>
      </c>
      <c r="R68" s="431" t="str">
        <f t="shared" ca="1" si="66"/>
        <v>*</v>
      </c>
      <c r="S68" s="431" t="str">
        <f t="shared" ca="1" si="67"/>
        <v>*</v>
      </c>
      <c r="T68" s="431" t="str">
        <f t="shared" ca="1" si="68"/>
        <v>*</v>
      </c>
      <c r="U68" s="432" t="str">
        <f t="shared" ca="1" si="69"/>
        <v>*</v>
      </c>
    </row>
    <row r="69" spans="1:21" ht="19.5" customHeight="1" thickBot="1">
      <c r="A69" s="70">
        <f t="shared" si="54"/>
        <v>16</v>
      </c>
      <c r="B69" s="70"/>
      <c r="C69" s="601"/>
      <c r="D69" s="602"/>
      <c r="E69" s="602"/>
      <c r="F69" s="142"/>
      <c r="G69" s="433" t="str">
        <f t="shared" ca="1" si="55"/>
        <v>*</v>
      </c>
      <c r="H69" s="434" t="str">
        <f t="shared" ca="1" si="56"/>
        <v>*</v>
      </c>
      <c r="I69" s="434" t="str">
        <f t="shared" ca="1" si="57"/>
        <v>*</v>
      </c>
      <c r="J69" s="434" t="str">
        <f t="shared" ca="1" si="58"/>
        <v>*</v>
      </c>
      <c r="K69" s="434" t="str">
        <f t="shared" ca="1" si="59"/>
        <v>*</v>
      </c>
      <c r="L69" s="434" t="str">
        <f t="shared" ca="1" si="60"/>
        <v>*</v>
      </c>
      <c r="M69" s="434" t="str">
        <f t="shared" ca="1" si="61"/>
        <v>*</v>
      </c>
      <c r="N69" s="434" t="str">
        <f t="shared" ca="1" si="62"/>
        <v>*</v>
      </c>
      <c r="O69" s="434" t="str">
        <f t="shared" ca="1" si="63"/>
        <v>*</v>
      </c>
      <c r="P69" s="434" t="str">
        <f t="shared" ca="1" si="64"/>
        <v>*</v>
      </c>
      <c r="Q69" s="434" t="str">
        <f t="shared" ca="1" si="65"/>
        <v>*</v>
      </c>
      <c r="R69" s="435" t="str">
        <f t="shared" ca="1" si="66"/>
        <v>*</v>
      </c>
      <c r="S69" s="435" t="str">
        <f t="shared" ca="1" si="67"/>
        <v>*</v>
      </c>
      <c r="T69" s="435" t="str">
        <f t="shared" ca="1" si="68"/>
        <v>*</v>
      </c>
      <c r="U69" s="436" t="str">
        <f t="shared" ca="1" si="69"/>
        <v>*</v>
      </c>
    </row>
    <row r="70" spans="1:21" ht="19.5" customHeight="1" thickBot="1">
      <c r="C70" s="603" t="s">
        <v>139</v>
      </c>
      <c r="D70" s="604"/>
      <c r="E70" s="604"/>
      <c r="F70" s="605"/>
      <c r="G70" s="437" t="str">
        <f t="shared" ref="G70:U70" ca="1" si="70">IF(SUM(G64:G69)=0,"0",SUM(G64:G69))</f>
        <v>0</v>
      </c>
      <c r="H70" s="437" t="str">
        <f t="shared" ca="1" si="70"/>
        <v>0</v>
      </c>
      <c r="I70" s="437" t="str">
        <f t="shared" ca="1" si="70"/>
        <v>0</v>
      </c>
      <c r="J70" s="437" t="str">
        <f t="shared" ca="1" si="70"/>
        <v>0</v>
      </c>
      <c r="K70" s="437" t="str">
        <f t="shared" ca="1" si="70"/>
        <v>0</v>
      </c>
      <c r="L70" s="437" t="str">
        <f t="shared" ca="1" si="70"/>
        <v>0</v>
      </c>
      <c r="M70" s="437" t="str">
        <f t="shared" ca="1" si="70"/>
        <v>0</v>
      </c>
      <c r="N70" s="437" t="str">
        <f t="shared" ca="1" si="70"/>
        <v>0</v>
      </c>
      <c r="O70" s="437" t="str">
        <f t="shared" ca="1" si="70"/>
        <v>0</v>
      </c>
      <c r="P70" s="437" t="str">
        <f t="shared" ca="1" si="70"/>
        <v>0</v>
      </c>
      <c r="Q70" s="438" t="str">
        <f t="shared" ca="1" si="70"/>
        <v>0</v>
      </c>
      <c r="R70" s="438" t="str">
        <f t="shared" ca="1" si="70"/>
        <v>0</v>
      </c>
      <c r="S70" s="438" t="str">
        <f t="shared" ca="1" si="70"/>
        <v>0</v>
      </c>
      <c r="T70" s="438" t="str">
        <f t="shared" ca="1" si="70"/>
        <v>0</v>
      </c>
      <c r="U70" s="439" t="str">
        <f t="shared" ca="1" si="70"/>
        <v>0</v>
      </c>
    </row>
    <row r="71" spans="1:21" ht="19.5" customHeight="1" thickTop="1">
      <c r="C71" s="607" t="s">
        <v>261</v>
      </c>
      <c r="D71" s="607"/>
      <c r="E71" s="607"/>
      <c r="F71" s="607"/>
      <c r="G71" s="440">
        <f t="shared" ref="G71:U71" ca="1" si="71">G70*$M$15</f>
        <v>0</v>
      </c>
      <c r="H71" s="440">
        <f t="shared" ca="1" si="71"/>
        <v>0</v>
      </c>
      <c r="I71" s="440">
        <f t="shared" ca="1" si="71"/>
        <v>0</v>
      </c>
      <c r="J71" s="440">
        <f t="shared" ca="1" si="71"/>
        <v>0</v>
      </c>
      <c r="K71" s="440">
        <f t="shared" ca="1" si="71"/>
        <v>0</v>
      </c>
      <c r="L71" s="440">
        <f t="shared" ca="1" si="71"/>
        <v>0</v>
      </c>
      <c r="M71" s="440">
        <f t="shared" ca="1" si="71"/>
        <v>0</v>
      </c>
      <c r="N71" s="440">
        <f t="shared" ca="1" si="71"/>
        <v>0</v>
      </c>
      <c r="O71" s="440">
        <f t="shared" ca="1" si="71"/>
        <v>0</v>
      </c>
      <c r="P71" s="440">
        <f t="shared" ca="1" si="71"/>
        <v>0</v>
      </c>
      <c r="Q71" s="441">
        <f t="shared" ca="1" si="71"/>
        <v>0</v>
      </c>
      <c r="R71" s="441">
        <f t="shared" ca="1" si="71"/>
        <v>0</v>
      </c>
      <c r="S71" s="441">
        <f t="shared" ca="1" si="71"/>
        <v>0</v>
      </c>
      <c r="T71" s="441">
        <f t="shared" ca="1" si="71"/>
        <v>0</v>
      </c>
      <c r="U71" s="441">
        <f t="shared" ca="1" si="71"/>
        <v>0</v>
      </c>
    </row>
    <row r="72" spans="1:21" ht="19.5" hidden="1" customHeight="1">
      <c r="C72" s="607"/>
      <c r="D72" s="607"/>
      <c r="E72" s="607"/>
      <c r="F72" s="607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1"/>
      <c r="R72" s="441"/>
      <c r="S72" s="441"/>
      <c r="T72" s="441"/>
      <c r="U72" s="441"/>
    </row>
    <row r="73" spans="1:21" ht="19.5" hidden="1" customHeight="1">
      <c r="C73" s="521"/>
      <c r="D73" s="521"/>
      <c r="E73" s="521"/>
      <c r="F73" s="521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</row>
    <row r="74" spans="1:21" ht="9" customHeight="1" thickBot="1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ht="24" customHeight="1" thickTop="1">
      <c r="A75" s="17"/>
      <c r="B75" s="17"/>
      <c r="C75" s="618"/>
      <c r="D75" s="619"/>
      <c r="E75" s="619"/>
      <c r="F75" s="130" t="s">
        <v>263</v>
      </c>
      <c r="G75" s="610" t="s">
        <v>240</v>
      </c>
      <c r="H75" s="611"/>
      <c r="I75" s="611"/>
      <c r="J75" s="611"/>
      <c r="K75" s="611"/>
      <c r="L75" s="611"/>
      <c r="M75" s="611"/>
      <c r="N75" s="611"/>
      <c r="O75" s="611"/>
      <c r="P75" s="611"/>
      <c r="Q75" s="611"/>
      <c r="R75" s="611"/>
      <c r="S75" s="611"/>
      <c r="T75" s="611"/>
      <c r="U75" s="612"/>
    </row>
    <row r="76" spans="1:21" ht="19.5" customHeight="1" thickBot="1">
      <c r="A76" s="17"/>
      <c r="B76" s="17"/>
      <c r="C76" s="616" t="s">
        <v>179</v>
      </c>
      <c r="D76" s="617"/>
      <c r="E76" s="617"/>
      <c r="F76" s="75" t="s">
        <v>64</v>
      </c>
      <c r="G76" s="78" t="s">
        <v>0</v>
      </c>
      <c r="H76" s="523" t="s">
        <v>1</v>
      </c>
      <c r="I76" s="523" t="s">
        <v>2</v>
      </c>
      <c r="J76" s="343" t="s">
        <v>3</v>
      </c>
      <c r="K76" s="343" t="s">
        <v>4</v>
      </c>
      <c r="L76" s="343" t="s">
        <v>5</v>
      </c>
      <c r="M76" s="343" t="s">
        <v>8</v>
      </c>
      <c r="N76" s="343" t="s">
        <v>9</v>
      </c>
      <c r="O76" s="343" t="s">
        <v>10</v>
      </c>
      <c r="P76" s="343" t="s">
        <v>7</v>
      </c>
      <c r="Q76" s="343" t="s">
        <v>6</v>
      </c>
      <c r="R76" s="343" t="s">
        <v>11</v>
      </c>
      <c r="S76" s="343" t="s">
        <v>12</v>
      </c>
      <c r="T76" s="343" t="s">
        <v>13</v>
      </c>
      <c r="U76" s="77" t="s">
        <v>62</v>
      </c>
    </row>
    <row r="77" spans="1:21" ht="19.5" customHeight="1" thickBot="1">
      <c r="A77" s="70" t="str">
        <f>IF(($C77=id.x3),45,"42")</f>
        <v>42</v>
      </c>
      <c r="B77" s="70"/>
      <c r="C77" s="613"/>
      <c r="D77" s="614"/>
      <c r="E77" s="615"/>
      <c r="F77" s="309"/>
      <c r="G77" s="410" t="str">
        <f ca="1">IF((INDIRECT("'PRODUCT DATA'!$L"&amp;$A77&amp;""))=0,"0",((INDIRECT("'PRODUCT DATA'!$L"&amp;$A77&amp;""))*($F77*10)))</f>
        <v>0</v>
      </c>
      <c r="H77" s="410" t="str">
        <f ca="1">IF((INDIRECT("'PRODUCT DATA'!$N"&amp;$A77&amp;""))=0,"0",((INDIRECT("'PRODUCT DATA'!$N"&amp;$A77&amp;""))*($F77*10)))</f>
        <v>0</v>
      </c>
      <c r="I77" s="410" t="str">
        <f ca="1">IF((INDIRECT("'PRODUCT DATA'!$P"&amp;$A77&amp;""))=0,"0",((INDIRECT("'PRODUCT DATA'!$P"&amp;$A77&amp;""))*($F77*10)))</f>
        <v>0</v>
      </c>
      <c r="J77" s="410" t="str">
        <f ca="1">IF((INDIRECT("'PRODUCT DATA'!$Q"&amp;$A77&amp;""))=0,"0",((INDIRECT("'PRODUCT DATA'!$Q"&amp;$A77&amp;""))*($F77*10)))</f>
        <v>0</v>
      </c>
      <c r="K77" s="410" t="str">
        <f ca="1">IF((INDIRECT("'PRODUCT DATA'!$R"&amp;$A77&amp;""))=0,"0",((INDIRECT("'PRODUCT DATA'!$R"&amp;$A77&amp;""))*($F77*10)))</f>
        <v>0</v>
      </c>
      <c r="L77" s="410" t="str">
        <f ca="1">IF((INDIRECT("'PRODUCT DATA'!$S"&amp;$A77&amp;""))=0,"0",((INDIRECT("'PRODUCT DATA'!$S"&amp;$A77&amp;""))*($F77*10)))</f>
        <v>0</v>
      </c>
      <c r="M77" s="410" t="str">
        <f ca="1">IF((INDIRECT("'PRODUCT DATA'!$T"&amp;$A77&amp;""))=0,"0",((INDIRECT("'PRODUCT DATA'!$T"&amp;$A77&amp;""))*($F77*10)))</f>
        <v>0</v>
      </c>
      <c r="N77" s="410" t="str">
        <f ca="1">IF((INDIRECT("'PRODUCT DATA'!$U"&amp;$A77&amp;""))=0,"0",((INDIRECT("'PRODUCT DATA'!$U"&amp;$A77&amp;""))*($F77*10)))</f>
        <v>0</v>
      </c>
      <c r="O77" s="410" t="str">
        <f ca="1">IF((INDIRECT("'PRODUCT DATA'!$V"&amp;$A77&amp;""))=0,"0",((INDIRECT("'PRODUCT DATA'!$V"&amp;$A77&amp;""))*($F77*10)))</f>
        <v>0</v>
      </c>
      <c r="P77" s="410" t="str">
        <f ca="1">IF((INDIRECT("'PRODUCT DATA'!$W"&amp;$A77&amp;""))=0,"0",((INDIRECT("'PRODUCT DATA'!$W"&amp;$A77&amp;""))*($F77*10)))</f>
        <v>0</v>
      </c>
      <c r="Q77" s="411" t="str">
        <f ca="1">IF((INDIRECT("'PRODUCT DATA'!$X"&amp;$A77&amp;""))=0,"0",((INDIRECT("'PRODUCT DATA'!$X"&amp;$A77&amp;""))*($F77*10)))</f>
        <v>0</v>
      </c>
      <c r="R77" s="411" t="str">
        <f ca="1">IF((INDIRECT("'PRODUCT DATA'!$Y"&amp;$A77&amp;""))=0,"0",((INDIRECT("'PRODUCT DATA'!$Y"&amp;$A77&amp;""))*($F77*10)))</f>
        <v>0</v>
      </c>
      <c r="S77" s="411" t="str">
        <f ca="1">IF((INDIRECT("'PRODUCT DATA'!$Z"&amp;$A77&amp;""))=0,"0",((INDIRECT("'PRODUCT DATA'!$Z"&amp;$A77&amp;""))*($F77*10)))</f>
        <v>0</v>
      </c>
      <c r="T77" s="411" t="str">
        <f ca="1">IF((INDIRECT("'PRODUCT DATA'!$AA"&amp;$A77&amp;""))=0,"0",((INDIRECT("'PRODUCT DATA'!$AA"&amp;$A77&amp;""))*($F77*10)))</f>
        <v>0</v>
      </c>
      <c r="U77" s="412" t="str">
        <f ca="1">IF((INDIRECT("'PRODUCT DATA'!$AB"&amp;$A77&amp;""))=0,"0",((INDIRECT("'PRODUCT DATA'!$AB"&amp;$A77&amp;""))*($F77*10)))</f>
        <v>0</v>
      </c>
    </row>
    <row r="78" spans="1:21" ht="19.5" customHeight="1">
      <c r="C78" s="746" t="s">
        <v>261</v>
      </c>
      <c r="D78" s="747"/>
      <c r="E78" s="747"/>
      <c r="F78" s="747"/>
      <c r="G78" s="445">
        <f t="shared" ref="G78:U78" ca="1" si="72">G77*$R$12</f>
        <v>0</v>
      </c>
      <c r="H78" s="445">
        <f t="shared" ca="1" si="72"/>
        <v>0</v>
      </c>
      <c r="I78" s="445">
        <f t="shared" ca="1" si="72"/>
        <v>0</v>
      </c>
      <c r="J78" s="445">
        <f t="shared" ca="1" si="72"/>
        <v>0</v>
      </c>
      <c r="K78" s="445">
        <f t="shared" ca="1" si="72"/>
        <v>0</v>
      </c>
      <c r="L78" s="445">
        <f t="shared" ca="1" si="72"/>
        <v>0</v>
      </c>
      <c r="M78" s="445">
        <f t="shared" ca="1" si="72"/>
        <v>0</v>
      </c>
      <c r="N78" s="445">
        <f t="shared" ca="1" si="72"/>
        <v>0</v>
      </c>
      <c r="O78" s="445">
        <f t="shared" ca="1" si="72"/>
        <v>0</v>
      </c>
      <c r="P78" s="445">
        <f t="shared" ca="1" si="72"/>
        <v>0</v>
      </c>
      <c r="Q78" s="445">
        <f t="shared" ca="1" si="72"/>
        <v>0</v>
      </c>
      <c r="R78" s="445">
        <f t="shared" ca="1" si="72"/>
        <v>0</v>
      </c>
      <c r="S78" s="445">
        <f t="shared" ca="1" si="72"/>
        <v>0</v>
      </c>
      <c r="T78" s="445">
        <f t="shared" ca="1" si="72"/>
        <v>0</v>
      </c>
      <c r="U78" s="446">
        <f t="shared" ca="1" si="72"/>
        <v>0</v>
      </c>
    </row>
    <row r="79" spans="1:21" ht="19.5" hidden="1" customHeight="1">
      <c r="C79" s="606"/>
      <c r="D79" s="607"/>
      <c r="E79" s="607"/>
      <c r="F79" s="607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6"/>
    </row>
    <row r="80" spans="1:21" ht="19.5" customHeight="1" thickBot="1">
      <c r="C80" s="608" t="s">
        <v>185</v>
      </c>
      <c r="D80" s="609"/>
      <c r="E80" s="609"/>
      <c r="F80" s="75" t="s">
        <v>64</v>
      </c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3"/>
    </row>
    <row r="81" spans="1:22" ht="19.5" customHeight="1" thickBot="1">
      <c r="A81" s="70">
        <f>IF(($C81=id.1220),47,IF(($C81=id.1270),48,IF(($C81=id.1200),49,IF(($C81=id.1340),50,IF(($C81=id.1240),51,IF(($C81=id.1440),52,IF(($C81=id.1400),53,IF(($C81=id.1410),54,IF(($C81=id.1430),55,IF(($C81=id.1420),56,IF(($C81=id.1320),62,IF(($C81=id.1360),63,IF(($C81=id.1370),64,IF(($C81=id.2020),65,IF(($C81=id.2000),66,IF(($C81=id.z1),68,IF(($C81=id.z2),69,"67")))))))))))))))))</f>
        <v>47</v>
      </c>
      <c r="B81" s="70"/>
      <c r="C81" s="599"/>
      <c r="D81" s="600"/>
      <c r="E81" s="600"/>
      <c r="F81" s="143"/>
      <c r="G81" s="410" t="str">
        <f ca="1">IF((INDIRECT("'PRODUCT DATA'!$L"&amp;$A81&amp;""))=0,"0",((INDIRECT("'PRODUCT DATA'!$L"&amp;$A81&amp;""))*($F81*10)))</f>
        <v>0</v>
      </c>
      <c r="H81" s="410" t="str">
        <f ca="1">IF((INDIRECT("'PRODUCT DATA'!$N"&amp;$A81&amp;""))=0,"0",((INDIRECT("'PRODUCT DATA'!$N"&amp;$A81&amp;""))*($F81*10)))</f>
        <v>0</v>
      </c>
      <c r="I81" s="410" t="str">
        <f ca="1">IF((INDIRECT("'PRODUCT DATA'!$P"&amp;$A81&amp;""))=0,"0",((INDIRECT("'PRODUCT DATA'!$P"&amp;$A81&amp;""))*($F81*10)))</f>
        <v>0</v>
      </c>
      <c r="J81" s="410" t="str">
        <f ca="1">IF((INDIRECT("'PRODUCT DATA'!$Q"&amp;$A81&amp;""))=0,"0",((INDIRECT("'PRODUCT DATA'!$Q"&amp;$A81&amp;""))*($F81*10)))</f>
        <v>0</v>
      </c>
      <c r="K81" s="410" t="str">
        <f ca="1">IF((INDIRECT("'PRODUCT DATA'!$R"&amp;$A81&amp;""))=0,"0",((INDIRECT("'PRODUCT DATA'!$R"&amp;$A81&amp;""))*($F81*10)))</f>
        <v>0</v>
      </c>
      <c r="L81" s="410" t="str">
        <f ca="1">IF((INDIRECT("'PRODUCT DATA'!$S"&amp;$A81&amp;""))=0,"0",((INDIRECT("'PRODUCT DATA'!$S"&amp;$A81&amp;""))*($F81*10)))</f>
        <v>0</v>
      </c>
      <c r="M81" s="410" t="str">
        <f ca="1">IF((INDIRECT("'PRODUCT DATA'!$T"&amp;$A81&amp;""))=0,"0",((INDIRECT("'PRODUCT DATA'!$T"&amp;$A81&amp;""))*($F81*10)))</f>
        <v>0</v>
      </c>
      <c r="N81" s="410" t="str">
        <f ca="1">IF((INDIRECT("'PRODUCT DATA'!$U"&amp;$A81&amp;""))=0,"0",((INDIRECT("'PRODUCT DATA'!$U"&amp;$A81&amp;""))*($F81*10)))</f>
        <v>0</v>
      </c>
      <c r="O81" s="410" t="str">
        <f ca="1">IF((INDIRECT("'PRODUCT DATA'!$V"&amp;$A81&amp;""))=0,"0",((INDIRECT("'PRODUCT DATA'!$V"&amp;$A81&amp;""))*($F81*10)))</f>
        <v>0</v>
      </c>
      <c r="P81" s="410" t="str">
        <f ca="1">IF((INDIRECT("'PRODUCT DATA'!$W"&amp;$A81&amp;""))=0,"0",((INDIRECT("'PRODUCT DATA'!$W"&amp;$A81&amp;""))*($F81*10)))</f>
        <v>0</v>
      </c>
      <c r="Q81" s="411" t="str">
        <f ca="1">IF((INDIRECT("'PRODUCT DATA'!$X"&amp;$A81&amp;""))=0,"0",((INDIRECT("'PRODUCT DATA'!$X"&amp;$A81&amp;""))*($F81*10)))</f>
        <v>0</v>
      </c>
      <c r="R81" s="411" t="str">
        <f ca="1">IF((INDIRECT("'PRODUCT DATA'!$Y"&amp;$A81&amp;""))=0,"0",((INDIRECT("'PRODUCT DATA'!$Y"&amp;$A81&amp;""))*($F81*10)))</f>
        <v>0</v>
      </c>
      <c r="S81" s="411" t="str">
        <f ca="1">IF((INDIRECT("'PRODUCT DATA'!$Z"&amp;$A81&amp;""))=0,"0",((INDIRECT("'PRODUCT DATA'!$Z"&amp;$A81&amp;""))*($F81*10)))</f>
        <v>0</v>
      </c>
      <c r="T81" s="411" t="str">
        <f ca="1">IF((INDIRECT("'PRODUCT DATA'!$AA"&amp;$A81&amp;""))=0,"0",((INDIRECT("'PRODUCT DATA'!$AA"&amp;$A81&amp;""))*($F81*10)))</f>
        <v>0</v>
      </c>
      <c r="U81" s="412" t="str">
        <f ca="1">IF((INDIRECT("'PRODUCT DATA'!$AB"&amp;$A81&amp;""))=0,"0",((INDIRECT("'PRODUCT DATA'!$AB"&amp;$A81&amp;""))*($F81*10)))</f>
        <v>0</v>
      </c>
    </row>
    <row r="82" spans="1:22" ht="19.5" customHeight="1">
      <c r="C82" s="746" t="s">
        <v>261</v>
      </c>
      <c r="D82" s="747"/>
      <c r="E82" s="747"/>
      <c r="F82" s="747"/>
      <c r="G82" s="445">
        <f t="shared" ref="G82:U82" ca="1" si="73">G81*$R$13</f>
        <v>0</v>
      </c>
      <c r="H82" s="445">
        <f t="shared" ca="1" si="73"/>
        <v>0</v>
      </c>
      <c r="I82" s="445">
        <f t="shared" ca="1" si="73"/>
        <v>0</v>
      </c>
      <c r="J82" s="445">
        <f t="shared" ca="1" si="73"/>
        <v>0</v>
      </c>
      <c r="K82" s="445">
        <f t="shared" ca="1" si="73"/>
        <v>0</v>
      </c>
      <c r="L82" s="445">
        <f t="shared" ca="1" si="73"/>
        <v>0</v>
      </c>
      <c r="M82" s="445">
        <f t="shared" ca="1" si="73"/>
        <v>0</v>
      </c>
      <c r="N82" s="445">
        <f t="shared" ca="1" si="73"/>
        <v>0</v>
      </c>
      <c r="O82" s="445">
        <f t="shared" ca="1" si="73"/>
        <v>0</v>
      </c>
      <c r="P82" s="445">
        <f t="shared" ca="1" si="73"/>
        <v>0</v>
      </c>
      <c r="Q82" s="445">
        <f t="shared" ca="1" si="73"/>
        <v>0</v>
      </c>
      <c r="R82" s="445">
        <f t="shared" ca="1" si="73"/>
        <v>0</v>
      </c>
      <c r="S82" s="445">
        <f t="shared" ca="1" si="73"/>
        <v>0</v>
      </c>
      <c r="T82" s="445">
        <f t="shared" ca="1" si="73"/>
        <v>0</v>
      </c>
      <c r="U82" s="446">
        <f t="shared" ca="1" si="73"/>
        <v>0</v>
      </c>
    </row>
    <row r="83" spans="1:22" ht="19.5" hidden="1" customHeight="1">
      <c r="C83" s="606"/>
      <c r="D83" s="607"/>
      <c r="E83" s="607"/>
      <c r="F83" s="607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6"/>
    </row>
    <row r="84" spans="1:22" ht="19.5" customHeight="1" thickBot="1">
      <c r="C84" s="608" t="s">
        <v>186</v>
      </c>
      <c r="D84" s="609"/>
      <c r="E84" s="609"/>
      <c r="F84" s="75" t="s">
        <v>64</v>
      </c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3"/>
    </row>
    <row r="85" spans="1:22" ht="19.5" customHeight="1" thickBot="1">
      <c r="A85" s="70">
        <f>IF(($C85=id.1220),47,IF(($C85=id.1270),48,IF(($C85=id.1200),49,IF(($C85=id.1340),50,IF(($C85=id.1240),51,IF(($C85=id.1440),52,IF(($C85=id.1400),53,IF(($C85=id.1410),54,IF(($C85=id.1430),55,IF(($C85=id.1420),56,IF(($C85=id.1320),62,IF(($C85=id.1360),63,IF(($C85=id.1370),64,IF(($C85=id.2020),65,IF(($C85=id.2000),66,IF(($C85=id.z1),68,IF(($C85=id.z2),69,"67")))))))))))))))))</f>
        <v>47</v>
      </c>
      <c r="B85" s="70"/>
      <c r="C85" s="599"/>
      <c r="D85" s="600"/>
      <c r="E85" s="600"/>
      <c r="F85" s="143"/>
      <c r="G85" s="410" t="str">
        <f ca="1">IF((INDIRECT("'PRODUCT DATA'!$L"&amp;$A85&amp;""))=0,"0",((INDIRECT("'PRODUCT DATA'!$L"&amp;$A85&amp;""))*($F85*10)))</f>
        <v>0</v>
      </c>
      <c r="H85" s="410" t="str">
        <f ca="1">IF((INDIRECT("'PRODUCT DATA'!$N"&amp;$A85&amp;""))=0,"0",((INDIRECT("'PRODUCT DATA'!$N"&amp;$A85&amp;""))*($F85*10)))</f>
        <v>0</v>
      </c>
      <c r="I85" s="410" t="str">
        <f ca="1">IF((INDIRECT("'PRODUCT DATA'!$P"&amp;$A85&amp;""))=0,"0",((INDIRECT("'PRODUCT DATA'!$P"&amp;$A85&amp;""))*($F85*10)))</f>
        <v>0</v>
      </c>
      <c r="J85" s="410" t="str">
        <f ca="1">IF((INDIRECT("'PRODUCT DATA'!$Q"&amp;$A85&amp;""))=0,"0",((INDIRECT("'PRODUCT DATA'!$Q"&amp;$A85&amp;""))*($F85*10)))</f>
        <v>0</v>
      </c>
      <c r="K85" s="410" t="str">
        <f ca="1">IF((INDIRECT("'PRODUCT DATA'!$R"&amp;$A85&amp;""))=0,"0",((INDIRECT("'PRODUCT DATA'!$R"&amp;$A85&amp;""))*($F85*10)))</f>
        <v>0</v>
      </c>
      <c r="L85" s="410" t="str">
        <f ca="1">IF((INDIRECT("'PRODUCT DATA'!$S"&amp;$A85&amp;""))=0,"0",((INDIRECT("'PRODUCT DATA'!$S"&amp;$A85&amp;""))*($F85*10)))</f>
        <v>0</v>
      </c>
      <c r="M85" s="410" t="str">
        <f ca="1">IF((INDIRECT("'PRODUCT DATA'!$T"&amp;$A85&amp;""))=0,"0",((INDIRECT("'PRODUCT DATA'!$T"&amp;$A85&amp;""))*($F85*10)))</f>
        <v>0</v>
      </c>
      <c r="N85" s="410" t="str">
        <f ca="1">IF((INDIRECT("'PRODUCT DATA'!$U"&amp;$A85&amp;""))=0,"0",((INDIRECT("'PRODUCT DATA'!$U"&amp;$A85&amp;""))*($F85*10)))</f>
        <v>0</v>
      </c>
      <c r="O85" s="410" t="str">
        <f ca="1">IF((INDIRECT("'PRODUCT DATA'!$V"&amp;$A85&amp;""))=0,"0",((INDIRECT("'PRODUCT DATA'!$V"&amp;$A85&amp;""))*($F85*10)))</f>
        <v>0</v>
      </c>
      <c r="P85" s="410" t="str">
        <f ca="1">IF((INDIRECT("'PRODUCT DATA'!$W"&amp;$A85&amp;""))=0,"0",((INDIRECT("'PRODUCT DATA'!$W"&amp;$A85&amp;""))*($F85*10)))</f>
        <v>0</v>
      </c>
      <c r="Q85" s="411" t="str">
        <f ca="1">IF((INDIRECT("'PRODUCT DATA'!$X"&amp;$A85&amp;""))=0,"0",((INDIRECT("'PRODUCT DATA'!$X"&amp;$A85&amp;""))*($F85*10)))</f>
        <v>0</v>
      </c>
      <c r="R85" s="411" t="str">
        <f ca="1">IF((INDIRECT("'PRODUCT DATA'!$Y"&amp;$A85&amp;""))=0,"0",((INDIRECT("'PRODUCT DATA'!$Y"&amp;$A85&amp;""))*($F85*10)))</f>
        <v>0</v>
      </c>
      <c r="S85" s="411" t="str">
        <f ca="1">IF((INDIRECT("'PRODUCT DATA'!$Z"&amp;$A85&amp;""))=0,"0",((INDIRECT("'PRODUCT DATA'!$Z"&amp;$A85&amp;""))*($F85*10)))</f>
        <v>0</v>
      </c>
      <c r="T85" s="411" t="str">
        <f ca="1">IF((INDIRECT("'PRODUCT DATA'!$AA"&amp;$A85&amp;""))=0,"0",((INDIRECT("'PRODUCT DATA'!$AA"&amp;$A85&amp;""))*($F85*10)))</f>
        <v>0</v>
      </c>
      <c r="U85" s="412" t="str">
        <f ca="1">IF((INDIRECT("'PRODUCT DATA'!$AB"&amp;$A85&amp;""))=0,"0",((INDIRECT("'PRODUCT DATA'!$AB"&amp;$A85&amp;""))*($F85*10)))</f>
        <v>0</v>
      </c>
    </row>
    <row r="86" spans="1:22" ht="19.5" customHeight="1">
      <c r="C86" s="746" t="s">
        <v>261</v>
      </c>
      <c r="D86" s="747"/>
      <c r="E86" s="747"/>
      <c r="F86" s="747"/>
      <c r="G86" s="445">
        <f t="shared" ref="G86:U86" ca="1" si="74">G85*$R$14</f>
        <v>0</v>
      </c>
      <c r="H86" s="445">
        <f t="shared" ca="1" si="74"/>
        <v>0</v>
      </c>
      <c r="I86" s="445">
        <f t="shared" ca="1" si="74"/>
        <v>0</v>
      </c>
      <c r="J86" s="445">
        <f t="shared" ca="1" si="74"/>
        <v>0</v>
      </c>
      <c r="K86" s="445">
        <f t="shared" ca="1" si="74"/>
        <v>0</v>
      </c>
      <c r="L86" s="445">
        <f t="shared" ca="1" si="74"/>
        <v>0</v>
      </c>
      <c r="M86" s="445">
        <f t="shared" ca="1" si="74"/>
        <v>0</v>
      </c>
      <c r="N86" s="445">
        <f t="shared" ca="1" si="74"/>
        <v>0</v>
      </c>
      <c r="O86" s="445">
        <f t="shared" ca="1" si="74"/>
        <v>0</v>
      </c>
      <c r="P86" s="445">
        <f t="shared" ca="1" si="74"/>
        <v>0</v>
      </c>
      <c r="Q86" s="445">
        <f t="shared" ca="1" si="74"/>
        <v>0</v>
      </c>
      <c r="R86" s="445">
        <f t="shared" ca="1" si="74"/>
        <v>0</v>
      </c>
      <c r="S86" s="445">
        <f t="shared" ca="1" si="74"/>
        <v>0</v>
      </c>
      <c r="T86" s="445">
        <f t="shared" ca="1" si="74"/>
        <v>0</v>
      </c>
      <c r="U86" s="446">
        <f t="shared" ca="1" si="74"/>
        <v>0</v>
      </c>
    </row>
    <row r="87" spans="1:22" ht="19.5" hidden="1" customHeight="1">
      <c r="C87" s="606"/>
      <c r="D87" s="607"/>
      <c r="E87" s="607"/>
      <c r="F87" s="607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6"/>
    </row>
    <row r="88" spans="1:22" ht="19.5" customHeight="1" thickBot="1">
      <c r="C88" s="608" t="s">
        <v>187</v>
      </c>
      <c r="D88" s="609"/>
      <c r="E88" s="609"/>
      <c r="F88" s="75" t="s">
        <v>64</v>
      </c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3"/>
    </row>
    <row r="89" spans="1:22" ht="19.5" customHeight="1" thickBot="1">
      <c r="A89" s="70">
        <f>IF(($C89=id.1220),47,IF(($C89=id.1270),48,IF(($C89=id.1200),49,IF(($C89=id.1340),50,IF(($C89=id.1240),51,IF(($C89=id.1440),52,IF(($C89=id.1400),53,IF(($C89=id.1410),54,IF(($C89=id.1430),55,IF(($C89=id.1420),56,IF(($C89=id.1320),62,IF(($C89=id.1360),63,IF(($C89=id.1370),64,IF(($C89=id.2020),65,IF(($C89=id.2000),66,IF(($C89=id.z1),68,IF(($C89=id.z2),69,"67")))))))))))))))))</f>
        <v>47</v>
      </c>
      <c r="B89" s="70"/>
      <c r="C89" s="599"/>
      <c r="D89" s="600"/>
      <c r="E89" s="600"/>
      <c r="F89" s="143"/>
      <c r="G89" s="410" t="str">
        <f ca="1">IF((INDIRECT("'PRODUCT DATA'!$L"&amp;$A89&amp;""))=0,"0",((INDIRECT("'PRODUCT DATA'!$L"&amp;$A89&amp;""))*($F89*10)))</f>
        <v>0</v>
      </c>
      <c r="H89" s="410" t="str">
        <f ca="1">IF((INDIRECT("'PRODUCT DATA'!$N"&amp;$A89&amp;""))=0,"0",((INDIRECT("'PRODUCT DATA'!$N"&amp;$A89&amp;""))*($F89*10)))</f>
        <v>0</v>
      </c>
      <c r="I89" s="410" t="str">
        <f ca="1">IF((INDIRECT("'PRODUCT DATA'!$P"&amp;$A89&amp;""))=0,"0",((INDIRECT("'PRODUCT DATA'!$P"&amp;$A89&amp;""))*($F89*10)))</f>
        <v>0</v>
      </c>
      <c r="J89" s="410" t="str">
        <f ca="1">IF((INDIRECT("'PRODUCT DATA'!$Q"&amp;$A89&amp;""))=0,"0",((INDIRECT("'PRODUCT DATA'!$Q"&amp;$A89&amp;""))*($F89*10)))</f>
        <v>0</v>
      </c>
      <c r="K89" s="410" t="str">
        <f ca="1">IF((INDIRECT("'PRODUCT DATA'!$R"&amp;$A89&amp;""))=0,"0",((INDIRECT("'PRODUCT DATA'!$R"&amp;$A89&amp;""))*($F89*10)))</f>
        <v>0</v>
      </c>
      <c r="L89" s="410" t="str">
        <f ca="1">IF((INDIRECT("'PRODUCT DATA'!$S"&amp;$A89&amp;""))=0,"0",((INDIRECT("'PRODUCT DATA'!$S"&amp;$A89&amp;""))*($F89*10)))</f>
        <v>0</v>
      </c>
      <c r="M89" s="410" t="str">
        <f ca="1">IF((INDIRECT("'PRODUCT DATA'!$T"&amp;$A89&amp;""))=0,"0",((INDIRECT("'PRODUCT DATA'!$T"&amp;$A89&amp;""))*($F89*10)))</f>
        <v>0</v>
      </c>
      <c r="N89" s="410" t="str">
        <f ca="1">IF((INDIRECT("'PRODUCT DATA'!$U"&amp;$A89&amp;""))=0,"0",((INDIRECT("'PRODUCT DATA'!$U"&amp;$A89&amp;""))*($F89*10)))</f>
        <v>0</v>
      </c>
      <c r="O89" s="410" t="str">
        <f ca="1">IF((INDIRECT("'PRODUCT DATA'!$V"&amp;$A89&amp;""))=0,"0",((INDIRECT("'PRODUCT DATA'!$V"&amp;$A89&amp;""))*($F89*10)))</f>
        <v>0</v>
      </c>
      <c r="P89" s="410" t="str">
        <f ca="1">IF((INDIRECT("'PRODUCT DATA'!$W"&amp;$A89&amp;""))=0,"0",((INDIRECT("'PRODUCT DATA'!$W"&amp;$A89&amp;""))*($F89*10)))</f>
        <v>0</v>
      </c>
      <c r="Q89" s="411" t="str">
        <f ca="1">IF((INDIRECT("'PRODUCT DATA'!$X"&amp;$A89&amp;""))=0,"0",((INDIRECT("'PRODUCT DATA'!$X"&amp;$A89&amp;""))*($F89*10)))</f>
        <v>0</v>
      </c>
      <c r="R89" s="411" t="str">
        <f ca="1">IF((INDIRECT("'PRODUCT DATA'!$Y"&amp;$A89&amp;""))=0,"0",((INDIRECT("'PRODUCT DATA'!$Y"&amp;$A89&amp;""))*($F89*10)))</f>
        <v>0</v>
      </c>
      <c r="S89" s="411" t="str">
        <f ca="1">IF((INDIRECT("'PRODUCT DATA'!$Z"&amp;$A89&amp;""))=0,"0",((INDIRECT("'PRODUCT DATA'!$Z"&amp;$A89&amp;""))*($F89*10)))</f>
        <v>0</v>
      </c>
      <c r="T89" s="411" t="str">
        <f ca="1">IF((INDIRECT("'PRODUCT DATA'!$AA"&amp;$A89&amp;""))=0,"0",((INDIRECT("'PRODUCT DATA'!$AA"&amp;$A89&amp;""))*($F89*10)))</f>
        <v>0</v>
      </c>
      <c r="U89" s="412" t="str">
        <f ca="1">IF((INDIRECT("'PRODUCT DATA'!$AB"&amp;$A89&amp;""))=0,"0",((INDIRECT("'PRODUCT DATA'!$AB"&amp;$A89&amp;""))*($F89*10)))</f>
        <v>0</v>
      </c>
    </row>
    <row r="90" spans="1:22" ht="19.5" customHeight="1" thickBot="1">
      <c r="C90" s="748" t="s">
        <v>261</v>
      </c>
      <c r="D90" s="749"/>
      <c r="E90" s="749"/>
      <c r="F90" s="749"/>
      <c r="G90" s="447">
        <f t="shared" ref="G90:U90" ca="1" si="75">G89*$R$15</f>
        <v>0</v>
      </c>
      <c r="H90" s="447">
        <f t="shared" ca="1" si="75"/>
        <v>0</v>
      </c>
      <c r="I90" s="447">
        <f t="shared" ca="1" si="75"/>
        <v>0</v>
      </c>
      <c r="J90" s="447">
        <f t="shared" ca="1" si="75"/>
        <v>0</v>
      </c>
      <c r="K90" s="447">
        <f t="shared" ca="1" si="75"/>
        <v>0</v>
      </c>
      <c r="L90" s="447">
        <f t="shared" ca="1" si="75"/>
        <v>0</v>
      </c>
      <c r="M90" s="447">
        <f t="shared" ca="1" si="75"/>
        <v>0</v>
      </c>
      <c r="N90" s="447">
        <f t="shared" ca="1" si="75"/>
        <v>0</v>
      </c>
      <c r="O90" s="447">
        <f t="shared" ca="1" si="75"/>
        <v>0</v>
      </c>
      <c r="P90" s="447">
        <f t="shared" ca="1" si="75"/>
        <v>0</v>
      </c>
      <c r="Q90" s="447">
        <f t="shared" ca="1" si="75"/>
        <v>0</v>
      </c>
      <c r="R90" s="447">
        <f t="shared" ca="1" si="75"/>
        <v>0</v>
      </c>
      <c r="S90" s="447">
        <f t="shared" ca="1" si="75"/>
        <v>0</v>
      </c>
      <c r="T90" s="447">
        <f t="shared" ca="1" si="75"/>
        <v>0</v>
      </c>
      <c r="U90" s="448">
        <f t="shared" ca="1" si="75"/>
        <v>0</v>
      </c>
    </row>
    <row r="91" spans="1:22" ht="19.5" hidden="1" customHeight="1" thickBot="1">
      <c r="C91" s="659"/>
      <c r="D91" s="660"/>
      <c r="E91" s="660"/>
      <c r="F91" s="660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</row>
    <row r="92" spans="1:22" ht="19.5" customHeight="1" thickTop="1">
      <c r="V92" s="17"/>
    </row>
    <row r="93" spans="1:22" ht="19.5" customHeight="1">
      <c r="V93" s="17" t="str">
        <f>id.255</f>
        <v xml:space="preserve">Manni-Plex® Total Turf  </v>
      </c>
    </row>
    <row r="94" spans="1:22" ht="19.5" customHeight="1">
      <c r="V94" s="17" t="str">
        <f>id.215</f>
        <v xml:space="preserve">Manni-Plex® Ultra Turf </v>
      </c>
    </row>
    <row r="95" spans="1:22" ht="19.5" customHeight="1">
      <c r="V95" s="17" t="str">
        <f>id.200</f>
        <v>Manni-Plex® Eagle</v>
      </c>
    </row>
    <row r="96" spans="1:22" ht="19.5" customHeight="1">
      <c r="V96" s="17" t="str">
        <f>id.285</f>
        <v>Manni-Plex® Root Builder</v>
      </c>
    </row>
    <row r="97" spans="22:22" ht="19.5" customHeight="1">
      <c r="V97" s="17" t="str">
        <f>id.315</f>
        <v>Manni-Plex® Grow</v>
      </c>
    </row>
    <row r="98" spans="22:22" ht="19.5" customHeight="1">
      <c r="V98" s="17" t="str">
        <f>id.106</f>
        <v>Manni-Plex® Foli-Cal</v>
      </c>
    </row>
    <row r="99" spans="22:22" ht="19.5" customHeight="1">
      <c r="V99" s="17" t="str">
        <f>id.310</f>
        <v>Manni-Plex® K</v>
      </c>
    </row>
    <row r="100" spans="22:22" ht="19.5" customHeight="1">
      <c r="V100" s="17" t="str">
        <f>id.141</f>
        <v>Manni-Plex® Traffic</v>
      </c>
    </row>
    <row r="101" spans="22:22" ht="19.5" customHeight="1">
      <c r="V101" s="17" t="str">
        <f>id.245</f>
        <v>Manni-Plex® Fe</v>
      </c>
    </row>
    <row r="102" spans="22:22" ht="19.5" customHeight="1">
      <c r="V102" s="17" t="str">
        <f>id.225</f>
        <v>Manni-Plex® Mg</v>
      </c>
    </row>
    <row r="103" spans="22:22" ht="19.5" customHeight="1">
      <c r="V103" s="17" t="str">
        <f>id.192</f>
        <v>Manni-Plex® Mn</v>
      </c>
    </row>
    <row r="104" spans="22:22" ht="19.5" customHeight="1">
      <c r="V104" s="17" t="str">
        <f>id.196</f>
        <v>Manni-Plex® Cal Zn</v>
      </c>
    </row>
    <row r="105" spans="22:22" ht="19.5" customHeight="1">
      <c r="V105" s="17" t="str">
        <f>id.330</f>
        <v>Manni-Plex® Cal Mag</v>
      </c>
    </row>
    <row r="106" spans="22:22" ht="19.5" customHeight="1">
      <c r="V106" s="17" t="str">
        <f>id.675</f>
        <v>Manni-Plex® Ni</v>
      </c>
    </row>
    <row r="107" spans="22:22" ht="19.5" customHeight="1">
      <c r="V107" s="17" t="str">
        <f>id.180</f>
        <v>Brandt Converge 18-3-6</v>
      </c>
    </row>
    <row r="108" spans="22:22" ht="19.5" customHeight="1">
      <c r="V108" s="17" t="str">
        <f>id.185</f>
        <v>Brandt Supreme Green</v>
      </c>
    </row>
    <row r="109" spans="22:22" ht="19.5" customHeight="1">
      <c r="V109" s="17" t="str">
        <f>id.195</f>
        <v>Brandt FlashDance</v>
      </c>
    </row>
    <row r="110" spans="22:22" ht="19.5" customHeight="1">
      <c r="V110" s="17" t="str">
        <f>id.240</f>
        <v>Brandt Converge CRN</v>
      </c>
    </row>
    <row r="111" spans="22:22" ht="19.5" customHeight="1">
      <c r="V111" s="17">
        <f>id.300</f>
        <v>0</v>
      </c>
    </row>
    <row r="112" spans="22:22" ht="19.5" customHeight="1">
      <c r="V112" s="17" t="str">
        <f>id.178</f>
        <v>Brandt In-Cyte</v>
      </c>
    </row>
    <row r="113" spans="22:22" ht="19.5" customHeight="1">
      <c r="V113" s="17">
        <f>id.177</f>
        <v>0</v>
      </c>
    </row>
    <row r="114" spans="22:22" ht="19.5" customHeight="1">
      <c r="V114" s="17">
        <f>id.860</f>
        <v>0</v>
      </c>
    </row>
    <row r="115" spans="22:22" ht="19.5" customHeight="1">
      <c r="V115" s="17">
        <f>id.840</f>
        <v>0</v>
      </c>
    </row>
    <row r="116" spans="22:22" ht="19.5" customHeight="1">
      <c r="V116" s="17">
        <f>id.800</f>
        <v>0</v>
      </c>
    </row>
    <row r="117" spans="22:22" ht="19.5" customHeight="1">
      <c r="V117" s="17">
        <f>id.650</f>
        <v>0</v>
      </c>
    </row>
    <row r="118" spans="22:22" ht="19.5" customHeight="1">
      <c r="V118" s="17">
        <f>id.600</f>
        <v>0</v>
      </c>
    </row>
    <row r="119" spans="22:22" ht="19.5" customHeight="1">
      <c r="V119" s="138" t="str">
        <f>id.x1</f>
        <v>Custom Liquid 1</v>
      </c>
    </row>
    <row r="120" spans="22:22" ht="19.5" customHeight="1">
      <c r="V120" s="138" t="str">
        <f>id.x2</f>
        <v>Custom Liquid 2</v>
      </c>
    </row>
    <row r="121" spans="22:22" ht="19.5" customHeight="1">
      <c r="V121" s="138" t="str">
        <f>id.x3</f>
        <v>Custom SOLUBLE 1</v>
      </c>
    </row>
    <row r="122" spans="22:22" ht="19.5" customHeight="1">
      <c r="V122" s="138">
        <f>id.1220</f>
        <v>0</v>
      </c>
    </row>
    <row r="123" spans="22:22" ht="19.5" customHeight="1">
      <c r="V123" s="138">
        <f>id.1270</f>
        <v>0</v>
      </c>
    </row>
    <row r="124" spans="22:22" ht="19.5" customHeight="1">
      <c r="V124" s="138">
        <f>id.1200</f>
        <v>0</v>
      </c>
    </row>
    <row r="125" spans="22:22" ht="19.5" customHeight="1">
      <c r="V125" s="138">
        <f>id.1340</f>
        <v>0</v>
      </c>
    </row>
    <row r="126" spans="22:22" ht="19.5" customHeight="1">
      <c r="V126" s="138">
        <f>id.1240</f>
        <v>0</v>
      </c>
    </row>
    <row r="127" spans="22:22" ht="19.5" customHeight="1">
      <c r="V127" s="138">
        <f>id.1360</f>
        <v>0</v>
      </c>
    </row>
    <row r="128" spans="22:22" ht="19.5" customHeight="1">
      <c r="V128" s="138">
        <f>id.1370</f>
        <v>0</v>
      </c>
    </row>
    <row r="129" spans="22:22" ht="19.5" customHeight="1">
      <c r="V129" s="138">
        <f>id.2020</f>
        <v>0</v>
      </c>
    </row>
    <row r="130" spans="22:22" ht="19.5" customHeight="1">
      <c r="V130" s="138">
        <f>id.2000</f>
        <v>0</v>
      </c>
    </row>
    <row r="131" spans="22:22" ht="19.5" customHeight="1">
      <c r="V131" s="138" t="str">
        <f>id.z1</f>
        <v>Custom Granular 1</v>
      </c>
    </row>
    <row r="132" spans="22:22" ht="19.5" customHeight="1">
      <c r="V132" s="138" t="str">
        <f>id.z2</f>
        <v>Custom Granular 2</v>
      </c>
    </row>
    <row r="133" spans="22:22" ht="19.5" customHeight="1"/>
    <row r="134" spans="22:22" ht="19.5" customHeight="1"/>
    <row r="135" spans="22:22" ht="19.5" customHeight="1"/>
    <row r="136" spans="22:22" ht="19.5" customHeight="1"/>
    <row r="137" spans="22:22" ht="19.5" customHeight="1"/>
    <row r="138" spans="22:22" ht="19.5" customHeight="1"/>
    <row r="139" spans="22:22" ht="19.5" customHeight="1"/>
    <row r="140" spans="22:22" ht="19.5" customHeight="1"/>
    <row r="141" spans="22:22" ht="19.5" customHeight="1"/>
    <row r="142" spans="22:22" ht="19.5" customHeight="1"/>
    <row r="143" spans="22:22" ht="19.5" customHeight="1"/>
    <row r="144" spans="22:22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</sheetData>
  <sheetProtection selectLockedCells="1"/>
  <mergeCells count="80">
    <mergeCell ref="C87:F87"/>
    <mergeCell ref="C88:E88"/>
    <mergeCell ref="C89:E89"/>
    <mergeCell ref="C90:F90"/>
    <mergeCell ref="C91:F91"/>
    <mergeCell ref="G75:U75"/>
    <mergeCell ref="C76:E76"/>
    <mergeCell ref="C77:E77"/>
    <mergeCell ref="C78:F78"/>
    <mergeCell ref="C79:F79"/>
    <mergeCell ref="C75:E75"/>
    <mergeCell ref="C69:E69"/>
    <mergeCell ref="C70:F70"/>
    <mergeCell ref="C71:F71"/>
    <mergeCell ref="C72:F72"/>
    <mergeCell ref="C86:F86"/>
    <mergeCell ref="C80:E80"/>
    <mergeCell ref="C81:E81"/>
    <mergeCell ref="C82:F82"/>
    <mergeCell ref="C83:F83"/>
    <mergeCell ref="C84:E84"/>
    <mergeCell ref="C85:E85"/>
    <mergeCell ref="G62:U62"/>
    <mergeCell ref="C64:E64"/>
    <mergeCell ref="C65:E65"/>
    <mergeCell ref="C66:E66"/>
    <mergeCell ref="C68:E68"/>
    <mergeCell ref="C67:E67"/>
    <mergeCell ref="C56:E56"/>
    <mergeCell ref="C57:E57"/>
    <mergeCell ref="C58:F58"/>
    <mergeCell ref="C59:F59"/>
    <mergeCell ref="C60:F60"/>
    <mergeCell ref="C61:F61"/>
    <mergeCell ref="C62:E63"/>
    <mergeCell ref="G37:U37"/>
    <mergeCell ref="C39:E39"/>
    <mergeCell ref="C40:E40"/>
    <mergeCell ref="C41:E41"/>
    <mergeCell ref="C55:E55"/>
    <mergeCell ref="C43:E43"/>
    <mergeCell ref="C44:E44"/>
    <mergeCell ref="C45:F45"/>
    <mergeCell ref="C46:F46"/>
    <mergeCell ref="C47:F47"/>
    <mergeCell ref="C48:F48"/>
    <mergeCell ref="C50:E51"/>
    <mergeCell ref="G50:U50"/>
    <mergeCell ref="C52:E52"/>
    <mergeCell ref="C53:E53"/>
    <mergeCell ref="C54:E54"/>
    <mergeCell ref="C42:E42"/>
    <mergeCell ref="C30:E30"/>
    <mergeCell ref="C31:E31"/>
    <mergeCell ref="C32:F32"/>
    <mergeCell ref="C33:F33"/>
    <mergeCell ref="C34:F34"/>
    <mergeCell ref="C35:F35"/>
    <mergeCell ref="C37:E38"/>
    <mergeCell ref="C22:E23"/>
    <mergeCell ref="G22:U22"/>
    <mergeCell ref="C24:E24"/>
    <mergeCell ref="C25:E25"/>
    <mergeCell ref="C26:E26"/>
    <mergeCell ref="C28:E28"/>
    <mergeCell ref="C29:E29"/>
    <mergeCell ref="C3:H4"/>
    <mergeCell ref="J3:L4"/>
    <mergeCell ref="N3:P4"/>
    <mergeCell ref="C6:H7"/>
    <mergeCell ref="J6:S10"/>
    <mergeCell ref="D9:E10"/>
    <mergeCell ref="F9:G9"/>
    <mergeCell ref="C27:E27"/>
    <mergeCell ref="C11:C12"/>
    <mergeCell ref="J12:L12"/>
    <mergeCell ref="J13:L13"/>
    <mergeCell ref="J14:L14"/>
    <mergeCell ref="I15:L15"/>
    <mergeCell ref="C17:T17"/>
  </mergeCells>
  <conditionalFormatting sqref="G81:U81 G39:U44 G52:U57 G64:U69 G77:U77 G85:U85 G89:U89 G24:U31">
    <cfRule type="cellIs" dxfId="9" priority="10" stopIfTrue="1" operator="notEqual">
      <formula>"*"</formula>
    </cfRule>
  </conditionalFormatting>
  <conditionalFormatting sqref="G32:U34 G45:U47 G58:U60 G70:U72">
    <cfRule type="cellIs" dxfId="8" priority="9" stopIfTrue="1" operator="lessThanOrEqual">
      <formula>0</formula>
    </cfRule>
  </conditionalFormatting>
  <conditionalFormatting sqref="J32">
    <cfRule type="expression" dxfId="7" priority="7" stopIfTrue="1">
      <formula>"&lt;=0"</formula>
    </cfRule>
    <cfRule type="cellIs" dxfId="6" priority="8" stopIfTrue="1" operator="lessThanOrEqual">
      <formula>0</formula>
    </cfRule>
  </conditionalFormatting>
  <conditionalFormatting sqref="G80:U81 G77:U77 G84:U85 G88:U89">
    <cfRule type="cellIs" dxfId="5" priority="6" stopIfTrue="1" operator="greaterThan">
      <formula>0</formula>
    </cfRule>
  </conditionalFormatting>
  <conditionalFormatting sqref="G77:U77">
    <cfRule type="cellIs" dxfId="4" priority="5" stopIfTrue="1" operator="greaterThan">
      <formula>0</formula>
    </cfRule>
  </conditionalFormatting>
  <conditionalFormatting sqref="G78:U79">
    <cfRule type="cellIs" dxfId="3" priority="4" stopIfTrue="1" operator="lessThanOrEqual">
      <formula>0</formula>
    </cfRule>
  </conditionalFormatting>
  <conditionalFormatting sqref="G82:U83">
    <cfRule type="cellIs" dxfId="2" priority="3" stopIfTrue="1" operator="lessThanOrEqual">
      <formula>0</formula>
    </cfRule>
  </conditionalFormatting>
  <conditionalFormatting sqref="G86:U87">
    <cfRule type="cellIs" dxfId="1" priority="2" stopIfTrue="1" operator="lessThanOrEqual">
      <formula>0</formula>
    </cfRule>
  </conditionalFormatting>
  <conditionalFormatting sqref="G90:U91">
    <cfRule type="cellIs" dxfId="0" priority="1" stopIfTrue="1" operator="lessThanOrEqual">
      <formula>0</formula>
    </cfRule>
  </conditionalFormatting>
  <dataValidations count="4">
    <dataValidation type="list" allowBlank="1" showInputMessage="1" showErrorMessage="1" prompt="SELECT A PRODUCT" sqref="C81:E81 C85:E85 C89:E89" xr:uid="{00000000-0002-0000-0600-000000000000}">
      <formula1>$V$122:$V$132</formula1>
    </dataValidation>
    <dataValidation type="list" allowBlank="1" showInputMessage="1" showErrorMessage="1" sqref="C64:E69 C39:E44 C24:E31 C52:E57" xr:uid="{00000000-0002-0000-0600-000001000000}">
      <formula1>$V$92:$V$120</formula1>
    </dataValidation>
    <dataValidation type="list" allowBlank="1" showInputMessage="1" showErrorMessage="1" prompt="SELECT A PRODUCT" sqref="C77:E77" xr:uid="{00000000-0002-0000-0600-000002000000}">
      <formula1>$V$121</formula1>
    </dataValidation>
    <dataValidation type="whole" showInputMessage="1" showErrorMessage="1" sqref="M12:M15" xr:uid="{00000000-0002-0000-0600-000003000000}">
      <formula1>1</formula1>
      <formula2>1000</formula2>
    </dataValidation>
  </dataValidations>
  <printOptions horizontalCentered="1"/>
  <pageMargins left="0.3" right="0.3" top="1" bottom="0.5" header="0.25" footer="0.25"/>
  <pageSetup scale="60" fitToHeight="9" orientation="landscape" r:id="rId1"/>
  <headerFooter>
    <oddHeader>&amp;L&amp;G&amp;C&amp;"Arial,Bold"&amp;24&amp;A&amp;R&amp;"Arial,Bold"&amp;9page &amp;P of &amp;N</oddHeader>
  </headerFooter>
  <rowBreaks count="1" manualBreakCount="1">
    <brk id="48" min="2" max="2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928</vt:i4>
      </vt:variant>
    </vt:vector>
  </HeadingPairs>
  <TitlesOfParts>
    <vt:vector size="935" baseType="lpstr">
      <vt:lpstr>G U I D E</vt:lpstr>
      <vt:lpstr>PRODUCT DATA</vt:lpstr>
      <vt:lpstr>APPLICATION DATA - standard</vt:lpstr>
      <vt:lpstr>PROGRAM ANALYSIS - standard</vt:lpstr>
      <vt:lpstr>APPLICATION DATA - metric</vt:lpstr>
      <vt:lpstr>PROGRAMME ANALYSIS - metric</vt:lpstr>
      <vt:lpstr>APPLICATION DATA - metric NZ</vt:lpstr>
      <vt:lpstr>acre.a</vt:lpstr>
      <vt:lpstr>acre.b</vt:lpstr>
      <vt:lpstr>all.b</vt:lpstr>
      <vt:lpstr>all.ca</vt:lpstr>
      <vt:lpstr>all.co</vt:lpstr>
      <vt:lpstr>all.cu</vt:lpstr>
      <vt:lpstr>all.fe</vt:lpstr>
      <vt:lpstr>all.fe.mn</vt:lpstr>
      <vt:lpstr>all.hpo3</vt:lpstr>
      <vt:lpstr>all.k</vt:lpstr>
      <vt:lpstr>all.mg</vt:lpstr>
      <vt:lpstr>all.mn</vt:lpstr>
      <vt:lpstr>all.mo</vt:lpstr>
      <vt:lpstr>all.n</vt:lpstr>
      <vt:lpstr>all.p</vt:lpstr>
      <vt:lpstr>all.p.hpo3</vt:lpstr>
      <vt:lpstr>all.s</vt:lpstr>
      <vt:lpstr>all.si</vt:lpstr>
      <vt:lpstr>all.x1</vt:lpstr>
      <vt:lpstr>all.zn</vt:lpstr>
      <vt:lpstr>cost.106</vt:lpstr>
      <vt:lpstr>cost.1200</vt:lpstr>
      <vt:lpstr>cost.1220</vt:lpstr>
      <vt:lpstr>cost.1240</vt:lpstr>
      <vt:lpstr>cost.1270</vt:lpstr>
      <vt:lpstr>cost.1320</vt:lpstr>
      <vt:lpstr>cost.1340</vt:lpstr>
      <vt:lpstr>cost.1360</vt:lpstr>
      <vt:lpstr>cost.1370</vt:lpstr>
      <vt:lpstr>cost.141</vt:lpstr>
      <vt:lpstr>cost.177</vt:lpstr>
      <vt:lpstr>cost.178</vt:lpstr>
      <vt:lpstr>cost.180</vt:lpstr>
      <vt:lpstr>cost.185</vt:lpstr>
      <vt:lpstr>cost.192</vt:lpstr>
      <vt:lpstr>cost.195</vt:lpstr>
      <vt:lpstr>cost.196</vt:lpstr>
      <vt:lpstr>cost.200</vt:lpstr>
      <vt:lpstr>cost.2000</vt:lpstr>
      <vt:lpstr>cost.2020</vt:lpstr>
      <vt:lpstr>cost.215</vt:lpstr>
      <vt:lpstr>cost.225</vt:lpstr>
      <vt:lpstr>cost.240</vt:lpstr>
      <vt:lpstr>cost.245</vt:lpstr>
      <vt:lpstr>cost.255</vt:lpstr>
      <vt:lpstr>cost.285</vt:lpstr>
      <vt:lpstr>cost.300</vt:lpstr>
      <vt:lpstr>cost.310</vt:lpstr>
      <vt:lpstr>cost.315</vt:lpstr>
      <vt:lpstr>cost.330</vt:lpstr>
      <vt:lpstr>cost.360</vt:lpstr>
      <vt:lpstr>cost.600</vt:lpstr>
      <vt:lpstr>cost.650</vt:lpstr>
      <vt:lpstr>cost.675</vt:lpstr>
      <vt:lpstr>cost.730</vt:lpstr>
      <vt:lpstr>cost.800</vt:lpstr>
      <vt:lpstr>cost.840</vt:lpstr>
      <vt:lpstr>cost.855</vt:lpstr>
      <vt:lpstr>cost.860</vt:lpstr>
      <vt:lpstr>cost.865</vt:lpstr>
      <vt:lpstr>cost.x1</vt:lpstr>
      <vt:lpstr>cost.x2</vt:lpstr>
      <vt:lpstr>cost.x3</vt:lpstr>
      <vt:lpstr>cost.z1</vt:lpstr>
      <vt:lpstr>cost.z2</vt:lpstr>
      <vt:lpstr>cost.z3</vt:lpstr>
      <vt:lpstr>cost1240</vt:lpstr>
      <vt:lpstr>customer</vt:lpstr>
      <vt:lpstr>'APPLICATION DATA - metric NZ'!customer2</vt:lpstr>
      <vt:lpstr>customer2</vt:lpstr>
      <vt:lpstr>customer3</vt:lpstr>
      <vt:lpstr>end.date</vt:lpstr>
      <vt:lpstr>'APPLICATION DATA - metric NZ'!end.date2</vt:lpstr>
      <vt:lpstr>end.date2</vt:lpstr>
      <vt:lpstr>end.date3</vt:lpstr>
      <vt:lpstr>global.discount</vt:lpstr>
      <vt:lpstr>granular.prog.adjustcost</vt:lpstr>
      <vt:lpstr>granular.prog.subcost</vt:lpstr>
      <vt:lpstr>granular.proge.adjustcost</vt:lpstr>
      <vt:lpstr>granular.proge.subcost</vt:lpstr>
      <vt:lpstr>GreenSpec_List2</vt:lpstr>
      <vt:lpstr>'APPLICATION DATA - metric NZ'!hectare.a</vt:lpstr>
      <vt:lpstr>hectare.a</vt:lpstr>
      <vt:lpstr>'APPLICATION DATA - metric NZ'!hectare.b</vt:lpstr>
      <vt:lpstr>hectare.b</vt:lpstr>
      <vt:lpstr>hectarez.a</vt:lpstr>
      <vt:lpstr>hectarez.b</vt:lpstr>
      <vt:lpstr>id.106</vt:lpstr>
      <vt:lpstr>id.1200</vt:lpstr>
      <vt:lpstr>id.1220</vt:lpstr>
      <vt:lpstr>id.1240</vt:lpstr>
      <vt:lpstr>id.1270</vt:lpstr>
      <vt:lpstr>id.1320</vt:lpstr>
      <vt:lpstr>id.1340</vt:lpstr>
      <vt:lpstr>id.1360</vt:lpstr>
      <vt:lpstr>id.1370</vt:lpstr>
      <vt:lpstr>id.141</vt:lpstr>
      <vt:lpstr>id.177</vt:lpstr>
      <vt:lpstr>id.178</vt:lpstr>
      <vt:lpstr>id.18</vt:lpstr>
      <vt:lpstr>id.180</vt:lpstr>
      <vt:lpstr>id.185</vt:lpstr>
      <vt:lpstr>id.192</vt:lpstr>
      <vt:lpstr>id.195</vt:lpstr>
      <vt:lpstr>id.196</vt:lpstr>
      <vt:lpstr>id.200</vt:lpstr>
      <vt:lpstr>id.2000</vt:lpstr>
      <vt:lpstr>id.201</vt:lpstr>
      <vt:lpstr>id.2020</vt:lpstr>
      <vt:lpstr>id.2030</vt:lpstr>
      <vt:lpstr>id.210</vt:lpstr>
      <vt:lpstr>id.215</vt:lpstr>
      <vt:lpstr>id.216</vt:lpstr>
      <vt:lpstr>id.225</vt:lpstr>
      <vt:lpstr>id.240</vt:lpstr>
      <vt:lpstr>id.242</vt:lpstr>
      <vt:lpstr>id.245</vt:lpstr>
      <vt:lpstr>id.255</vt:lpstr>
      <vt:lpstr>id.256</vt:lpstr>
      <vt:lpstr>id.285</vt:lpstr>
      <vt:lpstr>id.300</vt:lpstr>
      <vt:lpstr>id.310</vt:lpstr>
      <vt:lpstr>id.315</vt:lpstr>
      <vt:lpstr>id.330</vt:lpstr>
      <vt:lpstr>id.360</vt:lpstr>
      <vt:lpstr>id.600</vt:lpstr>
      <vt:lpstr>id.610</vt:lpstr>
      <vt:lpstr>id.620</vt:lpstr>
      <vt:lpstr>id.630</vt:lpstr>
      <vt:lpstr>id.650</vt:lpstr>
      <vt:lpstr>id.675</vt:lpstr>
      <vt:lpstr>id.730</vt:lpstr>
      <vt:lpstr>id.800</vt:lpstr>
      <vt:lpstr>id.840</vt:lpstr>
      <vt:lpstr>id.855</vt:lpstr>
      <vt:lpstr>id.860</vt:lpstr>
      <vt:lpstr>id.865</vt:lpstr>
      <vt:lpstr>id.x1</vt:lpstr>
      <vt:lpstr>id.x2</vt:lpstr>
      <vt:lpstr>id.x3</vt:lpstr>
      <vt:lpstr>id.z1</vt:lpstr>
      <vt:lpstr>id.z2</vt:lpstr>
      <vt:lpstr>id.z3</vt:lpstr>
      <vt:lpstr>K.215</vt:lpstr>
      <vt:lpstr>lbs.215</vt:lpstr>
      <vt:lpstr>lbs.255</vt:lpstr>
      <vt:lpstr>liquid.prog.adjustcost</vt:lpstr>
      <vt:lpstr>liquid.prog.subcost</vt:lpstr>
      <vt:lpstr>liquid.proge.adjustcost</vt:lpstr>
      <vt:lpstr>liquid.proge.subcost</vt:lpstr>
      <vt:lpstr>m1.1</vt:lpstr>
      <vt:lpstr>m1.10</vt:lpstr>
      <vt:lpstr>m1.2</vt:lpstr>
      <vt:lpstr>m1.3</vt:lpstr>
      <vt:lpstr>m1.4</vt:lpstr>
      <vt:lpstr>m1.5</vt:lpstr>
      <vt:lpstr>m1.6</vt:lpstr>
      <vt:lpstr>m1.7</vt:lpstr>
      <vt:lpstr>m1.8</vt:lpstr>
      <vt:lpstr>m1.9</vt:lpstr>
      <vt:lpstr>m1r.1</vt:lpstr>
      <vt:lpstr>m1r.10</vt:lpstr>
      <vt:lpstr>m1r.2</vt:lpstr>
      <vt:lpstr>m1r.3</vt:lpstr>
      <vt:lpstr>m1r.4</vt:lpstr>
      <vt:lpstr>m1r.5</vt:lpstr>
      <vt:lpstr>m1r.6</vt:lpstr>
      <vt:lpstr>m1r.7</vt:lpstr>
      <vt:lpstr>m1r.8</vt:lpstr>
      <vt:lpstr>m1r.9</vt:lpstr>
      <vt:lpstr>m2.1</vt:lpstr>
      <vt:lpstr>m2.2</vt:lpstr>
      <vt:lpstr>m2.3</vt:lpstr>
      <vt:lpstr>m2.4</vt:lpstr>
      <vt:lpstr>m2.5</vt:lpstr>
      <vt:lpstr>m2.6</vt:lpstr>
      <vt:lpstr>m2r.1</vt:lpstr>
      <vt:lpstr>m2r.2</vt:lpstr>
      <vt:lpstr>m2r.3</vt:lpstr>
      <vt:lpstr>m2r.4</vt:lpstr>
      <vt:lpstr>m2r.5</vt:lpstr>
      <vt:lpstr>m2r.6</vt:lpstr>
      <vt:lpstr>m3.1</vt:lpstr>
      <vt:lpstr>m3.2</vt:lpstr>
      <vt:lpstr>m3.3</vt:lpstr>
      <vt:lpstr>m3.4</vt:lpstr>
      <vt:lpstr>m3.5</vt:lpstr>
      <vt:lpstr>m3.6</vt:lpstr>
      <vt:lpstr>m3r.1</vt:lpstr>
      <vt:lpstr>m3r.2</vt:lpstr>
      <vt:lpstr>m3r.3</vt:lpstr>
      <vt:lpstr>m3r.4</vt:lpstr>
      <vt:lpstr>m3r.5</vt:lpstr>
      <vt:lpstr>m3r.6</vt:lpstr>
      <vt:lpstr>m4.1</vt:lpstr>
      <vt:lpstr>m4.2</vt:lpstr>
      <vt:lpstr>m4.3</vt:lpstr>
      <vt:lpstr>m4.4</vt:lpstr>
      <vt:lpstr>m4.5</vt:lpstr>
      <vt:lpstr>m4.6</vt:lpstr>
      <vt:lpstr>m4r.1</vt:lpstr>
      <vt:lpstr>m4r.2</vt:lpstr>
      <vt:lpstr>m4r.3</vt:lpstr>
      <vt:lpstr>m4r.4</vt:lpstr>
      <vt:lpstr>m4r.5</vt:lpstr>
      <vt:lpstr>m4r.6</vt:lpstr>
      <vt:lpstr>mall.b</vt:lpstr>
      <vt:lpstr>mall.ca</vt:lpstr>
      <vt:lpstr>mall.co</vt:lpstr>
      <vt:lpstr>mall.cu</vt:lpstr>
      <vt:lpstr>mall.fe</vt:lpstr>
      <vt:lpstr>mall.hpo3</vt:lpstr>
      <vt:lpstr>mall.k</vt:lpstr>
      <vt:lpstr>mall.mg</vt:lpstr>
      <vt:lpstr>mall.mn</vt:lpstr>
      <vt:lpstr>mall.mo</vt:lpstr>
      <vt:lpstr>mall.n</vt:lpstr>
      <vt:lpstr>mall.p</vt:lpstr>
      <vt:lpstr>mall.s</vt:lpstr>
      <vt:lpstr>mall.si</vt:lpstr>
      <vt:lpstr>mall.zn</vt:lpstr>
      <vt:lpstr>mix1.b</vt:lpstr>
      <vt:lpstr>mix1.ca</vt:lpstr>
      <vt:lpstr>mix1.co</vt:lpstr>
      <vt:lpstr>mix1.count</vt:lpstr>
      <vt:lpstr>mix1.cu</vt:lpstr>
      <vt:lpstr>mix1.fe</vt:lpstr>
      <vt:lpstr>mix1.k</vt:lpstr>
      <vt:lpstr>mix1.mg</vt:lpstr>
      <vt:lpstr>mix1.mn</vt:lpstr>
      <vt:lpstr>mix1.mo</vt:lpstr>
      <vt:lpstr>mix1.n</vt:lpstr>
      <vt:lpstr>mix1.p</vt:lpstr>
      <vt:lpstr>mix1.s</vt:lpstr>
      <vt:lpstr>mix1.si</vt:lpstr>
      <vt:lpstr>mix1.zn</vt:lpstr>
      <vt:lpstr>mix1hpo3</vt:lpstr>
      <vt:lpstr>mix2.b</vt:lpstr>
      <vt:lpstr>mix2.ca</vt:lpstr>
      <vt:lpstr>mix2.co</vt:lpstr>
      <vt:lpstr>mix2.count</vt:lpstr>
      <vt:lpstr>mix2.cu</vt:lpstr>
      <vt:lpstr>mix2.fe</vt:lpstr>
      <vt:lpstr>mix2.k</vt:lpstr>
      <vt:lpstr>mix2.mg</vt:lpstr>
      <vt:lpstr>mix2.mn</vt:lpstr>
      <vt:lpstr>mix2.mo</vt:lpstr>
      <vt:lpstr>mix2.n</vt:lpstr>
      <vt:lpstr>mix2.p</vt:lpstr>
      <vt:lpstr>mix2.s</vt:lpstr>
      <vt:lpstr>mix2.si</vt:lpstr>
      <vt:lpstr>mix2.zn</vt:lpstr>
      <vt:lpstr>mix2hpo3</vt:lpstr>
      <vt:lpstr>mix3.b</vt:lpstr>
      <vt:lpstr>mix3.ca</vt:lpstr>
      <vt:lpstr>mix3.co</vt:lpstr>
      <vt:lpstr>mix3.count</vt:lpstr>
      <vt:lpstr>mix3.cu</vt:lpstr>
      <vt:lpstr>mix3.fe</vt:lpstr>
      <vt:lpstr>mix3.k</vt:lpstr>
      <vt:lpstr>mix3.mg</vt:lpstr>
      <vt:lpstr>mix3.mn</vt:lpstr>
      <vt:lpstr>mix3.mo</vt:lpstr>
      <vt:lpstr>mix3.n</vt:lpstr>
      <vt:lpstr>mix3.p</vt:lpstr>
      <vt:lpstr>mix3.s</vt:lpstr>
      <vt:lpstr>mix3.si</vt:lpstr>
      <vt:lpstr>mix3.zn</vt:lpstr>
      <vt:lpstr>mix3hpo3</vt:lpstr>
      <vt:lpstr>mix4.b</vt:lpstr>
      <vt:lpstr>mix4.ca</vt:lpstr>
      <vt:lpstr>mix4.co</vt:lpstr>
      <vt:lpstr>mix4.count</vt:lpstr>
      <vt:lpstr>mix4.cu</vt:lpstr>
      <vt:lpstr>mix4.fe</vt:lpstr>
      <vt:lpstr>mix4.k</vt:lpstr>
      <vt:lpstr>mix4.mg</vt:lpstr>
      <vt:lpstr>mix4.mn</vt:lpstr>
      <vt:lpstr>mix4.mo</vt:lpstr>
      <vt:lpstr>mix4.n</vt:lpstr>
      <vt:lpstr>mix4.p</vt:lpstr>
      <vt:lpstr>mix4.s</vt:lpstr>
      <vt:lpstr>mix4.si</vt:lpstr>
      <vt:lpstr>mix4.zn</vt:lpstr>
      <vt:lpstr>mix4hpo3</vt:lpstr>
      <vt:lpstr>mixt.b</vt:lpstr>
      <vt:lpstr>mixt.ca</vt:lpstr>
      <vt:lpstr>mixt.co</vt:lpstr>
      <vt:lpstr>mixt.count</vt:lpstr>
      <vt:lpstr>mixt.cu</vt:lpstr>
      <vt:lpstr>mixt.fe</vt:lpstr>
      <vt:lpstr>mixt.hpo3</vt:lpstr>
      <vt:lpstr>mixt.k</vt:lpstr>
      <vt:lpstr>mixt.mg</vt:lpstr>
      <vt:lpstr>mixt.mn</vt:lpstr>
      <vt:lpstr>mixt.mo</vt:lpstr>
      <vt:lpstr>mixt.n</vt:lpstr>
      <vt:lpstr>mixt.p</vt:lpstr>
      <vt:lpstr>mixt.s</vt:lpstr>
      <vt:lpstr>mixt.si</vt:lpstr>
      <vt:lpstr>mixt.zn</vt:lpstr>
      <vt:lpstr>'APPLICATION DATA - metric NZ'!mm1.1</vt:lpstr>
      <vt:lpstr>mm1.1</vt:lpstr>
      <vt:lpstr>'APPLICATION DATA - metric NZ'!mm1.2</vt:lpstr>
      <vt:lpstr>mm1.2</vt:lpstr>
      <vt:lpstr>'APPLICATION DATA - metric NZ'!mm1.3</vt:lpstr>
      <vt:lpstr>mm1.3</vt:lpstr>
      <vt:lpstr>'APPLICATION DATA - metric NZ'!mm1.4</vt:lpstr>
      <vt:lpstr>mm1.4</vt:lpstr>
      <vt:lpstr>'APPLICATION DATA - metric NZ'!mm1.5</vt:lpstr>
      <vt:lpstr>mm1.5</vt:lpstr>
      <vt:lpstr>'APPLICATION DATA - metric NZ'!mm1.6</vt:lpstr>
      <vt:lpstr>mm1.6</vt:lpstr>
      <vt:lpstr>'APPLICATION DATA - metric NZ'!mm1r.1</vt:lpstr>
      <vt:lpstr>mm1r.1</vt:lpstr>
      <vt:lpstr>'APPLICATION DATA - metric NZ'!mm1r.2</vt:lpstr>
      <vt:lpstr>mm1r.2</vt:lpstr>
      <vt:lpstr>'APPLICATION DATA - metric NZ'!mm1r.3</vt:lpstr>
      <vt:lpstr>mm1r.3</vt:lpstr>
      <vt:lpstr>'APPLICATION DATA - metric NZ'!mm1r.4</vt:lpstr>
      <vt:lpstr>mm1r.4</vt:lpstr>
      <vt:lpstr>'APPLICATION DATA - metric NZ'!mm1r.5</vt:lpstr>
      <vt:lpstr>mm1r.5</vt:lpstr>
      <vt:lpstr>'APPLICATION DATA - metric NZ'!mm1r.6</vt:lpstr>
      <vt:lpstr>mm1r.6</vt:lpstr>
      <vt:lpstr>'APPLICATION DATA - metric NZ'!mm2.1</vt:lpstr>
      <vt:lpstr>mm2.1</vt:lpstr>
      <vt:lpstr>'APPLICATION DATA - metric NZ'!mm2.2</vt:lpstr>
      <vt:lpstr>mm2.2</vt:lpstr>
      <vt:lpstr>'APPLICATION DATA - metric NZ'!mm2.3</vt:lpstr>
      <vt:lpstr>mm2.3</vt:lpstr>
      <vt:lpstr>'APPLICATION DATA - metric NZ'!mm2.4</vt:lpstr>
      <vt:lpstr>mm2.4</vt:lpstr>
      <vt:lpstr>'APPLICATION DATA - metric NZ'!mm2.5</vt:lpstr>
      <vt:lpstr>mm2.5</vt:lpstr>
      <vt:lpstr>'APPLICATION DATA - metric NZ'!mm2.6</vt:lpstr>
      <vt:lpstr>mm2.6</vt:lpstr>
      <vt:lpstr>'APPLICATION DATA - metric NZ'!mm2r.1</vt:lpstr>
      <vt:lpstr>mm2r.1</vt:lpstr>
      <vt:lpstr>'APPLICATION DATA - metric NZ'!mm2r.2</vt:lpstr>
      <vt:lpstr>mm2r.2</vt:lpstr>
      <vt:lpstr>'APPLICATION DATA - metric NZ'!mm2r.3</vt:lpstr>
      <vt:lpstr>mm2r.3</vt:lpstr>
      <vt:lpstr>'APPLICATION DATA - metric NZ'!mm2r.4</vt:lpstr>
      <vt:lpstr>mm2r.4</vt:lpstr>
      <vt:lpstr>'APPLICATION DATA - metric NZ'!mm2r.5</vt:lpstr>
      <vt:lpstr>mm2r.5</vt:lpstr>
      <vt:lpstr>'APPLICATION DATA - metric NZ'!mm2r.6</vt:lpstr>
      <vt:lpstr>mm2r.6</vt:lpstr>
      <vt:lpstr>'APPLICATION DATA - metric NZ'!mm3.1</vt:lpstr>
      <vt:lpstr>mm3.1</vt:lpstr>
      <vt:lpstr>'APPLICATION DATA - metric NZ'!mm3.2</vt:lpstr>
      <vt:lpstr>mm3.2</vt:lpstr>
      <vt:lpstr>'APPLICATION DATA - metric NZ'!mm3.3</vt:lpstr>
      <vt:lpstr>mm3.3</vt:lpstr>
      <vt:lpstr>'APPLICATION DATA - metric NZ'!mm3.4</vt:lpstr>
      <vt:lpstr>mm3.4</vt:lpstr>
      <vt:lpstr>'APPLICATION DATA - metric NZ'!mm3.5</vt:lpstr>
      <vt:lpstr>mm3.5</vt:lpstr>
      <vt:lpstr>'APPLICATION DATA - metric NZ'!mm3.6</vt:lpstr>
      <vt:lpstr>mm3.6</vt:lpstr>
      <vt:lpstr>'APPLICATION DATA - metric NZ'!mm3r.1</vt:lpstr>
      <vt:lpstr>mm3r.1</vt:lpstr>
      <vt:lpstr>'APPLICATION DATA - metric NZ'!mm3r.2</vt:lpstr>
      <vt:lpstr>mm3r.2</vt:lpstr>
      <vt:lpstr>'APPLICATION DATA - metric NZ'!mm3r.3</vt:lpstr>
      <vt:lpstr>mm3r.3</vt:lpstr>
      <vt:lpstr>'APPLICATION DATA - metric NZ'!mm3r.4</vt:lpstr>
      <vt:lpstr>mm3r.4</vt:lpstr>
      <vt:lpstr>'APPLICATION DATA - metric NZ'!mm3r.5</vt:lpstr>
      <vt:lpstr>mm3r.5</vt:lpstr>
      <vt:lpstr>'APPLICATION DATA - metric NZ'!mm3r.6</vt:lpstr>
      <vt:lpstr>mm3r.6</vt:lpstr>
      <vt:lpstr>'APPLICATION DATA - metric NZ'!mm4.1</vt:lpstr>
      <vt:lpstr>mm4.1</vt:lpstr>
      <vt:lpstr>'APPLICATION DATA - metric NZ'!mm4.2</vt:lpstr>
      <vt:lpstr>mm4.2</vt:lpstr>
      <vt:lpstr>'APPLICATION DATA - metric NZ'!mm4.3</vt:lpstr>
      <vt:lpstr>mm4.3</vt:lpstr>
      <vt:lpstr>'APPLICATION DATA - metric NZ'!mm4.4</vt:lpstr>
      <vt:lpstr>mm4.4</vt:lpstr>
      <vt:lpstr>'APPLICATION DATA - metric NZ'!mm4.5</vt:lpstr>
      <vt:lpstr>mm4.5</vt:lpstr>
      <vt:lpstr>'APPLICATION DATA - metric NZ'!mm4.6</vt:lpstr>
      <vt:lpstr>mm4.6</vt:lpstr>
      <vt:lpstr>'APPLICATION DATA - metric NZ'!mm4r.1</vt:lpstr>
      <vt:lpstr>mm4r.1</vt:lpstr>
      <vt:lpstr>'APPLICATION DATA - metric NZ'!mm4r.2</vt:lpstr>
      <vt:lpstr>mm4r.2</vt:lpstr>
      <vt:lpstr>'APPLICATION DATA - metric NZ'!mm4r.3</vt:lpstr>
      <vt:lpstr>mm4r.3</vt:lpstr>
      <vt:lpstr>'APPLICATION DATA - metric NZ'!mm4r.4</vt:lpstr>
      <vt:lpstr>mm4r.4</vt:lpstr>
      <vt:lpstr>'APPLICATION DATA - metric NZ'!mm4r.5</vt:lpstr>
      <vt:lpstr>mm4r.5</vt:lpstr>
      <vt:lpstr>'APPLICATION DATA - metric NZ'!mm4r.6</vt:lpstr>
      <vt:lpstr>mm4r.6</vt:lpstr>
      <vt:lpstr>'APPLICATION DATA - metric NZ'!mmix1.b</vt:lpstr>
      <vt:lpstr>mmix1.b</vt:lpstr>
      <vt:lpstr>'APPLICATION DATA - metric NZ'!mmix1.ca</vt:lpstr>
      <vt:lpstr>mmix1.ca</vt:lpstr>
      <vt:lpstr>'APPLICATION DATA - metric NZ'!mmix1.co</vt:lpstr>
      <vt:lpstr>mmix1.co</vt:lpstr>
      <vt:lpstr>'APPLICATION DATA - metric NZ'!mmix1.count</vt:lpstr>
      <vt:lpstr>mmix1.count</vt:lpstr>
      <vt:lpstr>'APPLICATION DATA - metric NZ'!mmix1.cu</vt:lpstr>
      <vt:lpstr>mmix1.cu</vt:lpstr>
      <vt:lpstr>'APPLICATION DATA - metric NZ'!mmix1.fe</vt:lpstr>
      <vt:lpstr>mmix1.fe</vt:lpstr>
      <vt:lpstr>'APPLICATION DATA - metric NZ'!mmix1.hpo3</vt:lpstr>
      <vt:lpstr>mmix1.hpo3</vt:lpstr>
      <vt:lpstr>'APPLICATION DATA - metric NZ'!mmix1.k</vt:lpstr>
      <vt:lpstr>mmix1.k</vt:lpstr>
      <vt:lpstr>'APPLICATION DATA - metric NZ'!mmix1.mg</vt:lpstr>
      <vt:lpstr>mmix1.mg</vt:lpstr>
      <vt:lpstr>'APPLICATION DATA - metric NZ'!mmix1.mn</vt:lpstr>
      <vt:lpstr>mmix1.mn</vt:lpstr>
      <vt:lpstr>'APPLICATION DATA - metric NZ'!mmix1.mo</vt:lpstr>
      <vt:lpstr>mmix1.mo</vt:lpstr>
      <vt:lpstr>'APPLICATION DATA - metric NZ'!mmix1.n</vt:lpstr>
      <vt:lpstr>mmix1.n</vt:lpstr>
      <vt:lpstr>'APPLICATION DATA - metric NZ'!mmix1.p</vt:lpstr>
      <vt:lpstr>mmix1.p</vt:lpstr>
      <vt:lpstr>'APPLICATION DATA - metric NZ'!mmix1.s</vt:lpstr>
      <vt:lpstr>mmix1.s</vt:lpstr>
      <vt:lpstr>'APPLICATION DATA - metric NZ'!mmix1.si</vt:lpstr>
      <vt:lpstr>mmix1.si</vt:lpstr>
      <vt:lpstr>'APPLICATION DATA - metric NZ'!mmix1.zn</vt:lpstr>
      <vt:lpstr>mmix1.zn</vt:lpstr>
      <vt:lpstr>'APPLICATION DATA - metric NZ'!mmix2.b</vt:lpstr>
      <vt:lpstr>mmix2.b</vt:lpstr>
      <vt:lpstr>'APPLICATION DATA - metric NZ'!mmix2.ca</vt:lpstr>
      <vt:lpstr>mmix2.ca</vt:lpstr>
      <vt:lpstr>'APPLICATION DATA - metric NZ'!mmix2.co</vt:lpstr>
      <vt:lpstr>mmix2.co</vt:lpstr>
      <vt:lpstr>'APPLICATION DATA - metric NZ'!mmix2.count</vt:lpstr>
      <vt:lpstr>mmix2.count</vt:lpstr>
      <vt:lpstr>'APPLICATION DATA - metric NZ'!mmix2.cu</vt:lpstr>
      <vt:lpstr>mmix2.cu</vt:lpstr>
      <vt:lpstr>'APPLICATION DATA - metric NZ'!mmix2.fe</vt:lpstr>
      <vt:lpstr>mmix2.fe</vt:lpstr>
      <vt:lpstr>'APPLICATION DATA - metric NZ'!mmix2.k</vt:lpstr>
      <vt:lpstr>mmix2.k</vt:lpstr>
      <vt:lpstr>'APPLICATION DATA - metric NZ'!mmix2.mg</vt:lpstr>
      <vt:lpstr>mmix2.mg</vt:lpstr>
      <vt:lpstr>'APPLICATION DATA - metric NZ'!mmix2.mn</vt:lpstr>
      <vt:lpstr>mmix2.mn</vt:lpstr>
      <vt:lpstr>'APPLICATION DATA - metric NZ'!mmix2.mo</vt:lpstr>
      <vt:lpstr>mmix2.mo</vt:lpstr>
      <vt:lpstr>'APPLICATION DATA - metric NZ'!mmix2.n</vt:lpstr>
      <vt:lpstr>mmix2.n</vt:lpstr>
      <vt:lpstr>'APPLICATION DATA - metric NZ'!mmix2.p</vt:lpstr>
      <vt:lpstr>mmix2.p</vt:lpstr>
      <vt:lpstr>'APPLICATION DATA - metric NZ'!mmix2.s</vt:lpstr>
      <vt:lpstr>mmix2.s</vt:lpstr>
      <vt:lpstr>'APPLICATION DATA - metric NZ'!mmix2.si</vt:lpstr>
      <vt:lpstr>mmix2.si</vt:lpstr>
      <vt:lpstr>'APPLICATION DATA - metric NZ'!mmix2.zn</vt:lpstr>
      <vt:lpstr>mmix2.zn</vt:lpstr>
      <vt:lpstr>'APPLICATION DATA - metric NZ'!mmix2hpo3</vt:lpstr>
      <vt:lpstr>mmix2hpo3</vt:lpstr>
      <vt:lpstr>'APPLICATION DATA - metric NZ'!mmix3.b</vt:lpstr>
      <vt:lpstr>mmix3.b</vt:lpstr>
      <vt:lpstr>'APPLICATION DATA - metric NZ'!mmix3.ca</vt:lpstr>
      <vt:lpstr>mmix3.ca</vt:lpstr>
      <vt:lpstr>'APPLICATION DATA - metric NZ'!mmix3.co</vt:lpstr>
      <vt:lpstr>mmix3.co</vt:lpstr>
      <vt:lpstr>'APPLICATION DATA - metric NZ'!mmix3.count</vt:lpstr>
      <vt:lpstr>mmix3.count</vt:lpstr>
      <vt:lpstr>'APPLICATION DATA - metric NZ'!mmix3.cu</vt:lpstr>
      <vt:lpstr>mmix3.cu</vt:lpstr>
      <vt:lpstr>'APPLICATION DATA - metric NZ'!mmix3.fe</vt:lpstr>
      <vt:lpstr>mmix3.fe</vt:lpstr>
      <vt:lpstr>'APPLICATION DATA - metric NZ'!mmix3.k</vt:lpstr>
      <vt:lpstr>mmix3.k</vt:lpstr>
      <vt:lpstr>'APPLICATION DATA - metric NZ'!mmix3.mg</vt:lpstr>
      <vt:lpstr>mmix3.mg</vt:lpstr>
      <vt:lpstr>'APPLICATION DATA - metric NZ'!mmix3.mn</vt:lpstr>
      <vt:lpstr>mmix3.mn</vt:lpstr>
      <vt:lpstr>'APPLICATION DATA - metric NZ'!mmix3.mo</vt:lpstr>
      <vt:lpstr>mmix3.mo</vt:lpstr>
      <vt:lpstr>'APPLICATION DATA - metric NZ'!mmix3.n</vt:lpstr>
      <vt:lpstr>mmix3.n</vt:lpstr>
      <vt:lpstr>'APPLICATION DATA - metric NZ'!mmix3.p</vt:lpstr>
      <vt:lpstr>mmix3.p</vt:lpstr>
      <vt:lpstr>'APPLICATION DATA - metric NZ'!mmix3.s</vt:lpstr>
      <vt:lpstr>mmix3.s</vt:lpstr>
      <vt:lpstr>'APPLICATION DATA - metric NZ'!mmix3.si</vt:lpstr>
      <vt:lpstr>mmix3.si</vt:lpstr>
      <vt:lpstr>'APPLICATION DATA - metric NZ'!mmix3.zn</vt:lpstr>
      <vt:lpstr>mmix3.zn</vt:lpstr>
      <vt:lpstr>'APPLICATION DATA - metric NZ'!mmix3hpo3</vt:lpstr>
      <vt:lpstr>mmix3hpo3</vt:lpstr>
      <vt:lpstr>'APPLICATION DATA - metric NZ'!mmix4.b</vt:lpstr>
      <vt:lpstr>mmix4.b</vt:lpstr>
      <vt:lpstr>'APPLICATION DATA - metric NZ'!mmix4.ca</vt:lpstr>
      <vt:lpstr>mmix4.ca</vt:lpstr>
      <vt:lpstr>'APPLICATION DATA - metric NZ'!mmix4.co</vt:lpstr>
      <vt:lpstr>mmix4.co</vt:lpstr>
      <vt:lpstr>'APPLICATION DATA - metric NZ'!mmix4.count</vt:lpstr>
      <vt:lpstr>mmix4.count</vt:lpstr>
      <vt:lpstr>'APPLICATION DATA - metric NZ'!mmix4.cu</vt:lpstr>
      <vt:lpstr>mmix4.cu</vt:lpstr>
      <vt:lpstr>'APPLICATION DATA - metric NZ'!mmix4.fe</vt:lpstr>
      <vt:lpstr>mmix4.fe</vt:lpstr>
      <vt:lpstr>'APPLICATION DATA - metric NZ'!mmix4.k</vt:lpstr>
      <vt:lpstr>mmix4.k</vt:lpstr>
      <vt:lpstr>'APPLICATION DATA - metric NZ'!mmix4.mg</vt:lpstr>
      <vt:lpstr>mmix4.mg</vt:lpstr>
      <vt:lpstr>'APPLICATION DATA - metric NZ'!mmix4.mn</vt:lpstr>
      <vt:lpstr>mmix4.mn</vt:lpstr>
      <vt:lpstr>'APPLICATION DATA - metric NZ'!mmix4.mo</vt:lpstr>
      <vt:lpstr>mmix4.mo</vt:lpstr>
      <vt:lpstr>'APPLICATION DATA - metric NZ'!mmix4.n</vt:lpstr>
      <vt:lpstr>mmix4.n</vt:lpstr>
      <vt:lpstr>'APPLICATION DATA - metric NZ'!mmix4.p</vt:lpstr>
      <vt:lpstr>mmix4.p</vt:lpstr>
      <vt:lpstr>'APPLICATION DATA - metric NZ'!mmix4.s</vt:lpstr>
      <vt:lpstr>mmix4.s</vt:lpstr>
      <vt:lpstr>'APPLICATION DATA - metric NZ'!mmix4.si</vt:lpstr>
      <vt:lpstr>mmix4.si</vt:lpstr>
      <vt:lpstr>'APPLICATION DATA - metric NZ'!mmix4.zn</vt:lpstr>
      <vt:lpstr>mmix4.zn</vt:lpstr>
      <vt:lpstr>'APPLICATION DATA - metric NZ'!mmix4hpo3</vt:lpstr>
      <vt:lpstr>mmix4hpo3</vt:lpstr>
      <vt:lpstr>'APPLICATION DATA - metric NZ'!mmixt.b</vt:lpstr>
      <vt:lpstr>mmixt.b</vt:lpstr>
      <vt:lpstr>'APPLICATION DATA - metric NZ'!mmixt.ca</vt:lpstr>
      <vt:lpstr>mmixt.ca</vt:lpstr>
      <vt:lpstr>'APPLICATION DATA - metric NZ'!mmixt.co</vt:lpstr>
      <vt:lpstr>mmixt.co</vt:lpstr>
      <vt:lpstr>mmixt.count</vt:lpstr>
      <vt:lpstr>'APPLICATION DATA - metric NZ'!mmixt.cu</vt:lpstr>
      <vt:lpstr>mmixt.cu</vt:lpstr>
      <vt:lpstr>'APPLICATION DATA - metric NZ'!mmixt.fe</vt:lpstr>
      <vt:lpstr>mmixt.fe</vt:lpstr>
      <vt:lpstr>'APPLICATION DATA - metric NZ'!mmixt.hpo3</vt:lpstr>
      <vt:lpstr>mmixt.hpo3</vt:lpstr>
      <vt:lpstr>'APPLICATION DATA - metric NZ'!mmixt.k</vt:lpstr>
      <vt:lpstr>mmixt.k</vt:lpstr>
      <vt:lpstr>'APPLICATION DATA - metric NZ'!mmixt.mg</vt:lpstr>
      <vt:lpstr>mmixt.mg</vt:lpstr>
      <vt:lpstr>'APPLICATION DATA - metric NZ'!mmixt.mn</vt:lpstr>
      <vt:lpstr>mmixt.mn</vt:lpstr>
      <vt:lpstr>'APPLICATION DATA - metric NZ'!mmixt.mo</vt:lpstr>
      <vt:lpstr>mmixt.mo</vt:lpstr>
      <vt:lpstr>'APPLICATION DATA - metric NZ'!mmixt.n</vt:lpstr>
      <vt:lpstr>mmixt.n</vt:lpstr>
      <vt:lpstr>'APPLICATION DATA - metric NZ'!mmixt.p</vt:lpstr>
      <vt:lpstr>mmixt.p</vt:lpstr>
      <vt:lpstr>'APPLICATION DATA - metric NZ'!mmixt.s</vt:lpstr>
      <vt:lpstr>mmixt.s</vt:lpstr>
      <vt:lpstr>'APPLICATION DATA - metric NZ'!mmixt.si</vt:lpstr>
      <vt:lpstr>mmixt.si</vt:lpstr>
      <vt:lpstr>'APPLICATION DATA - metric NZ'!mmixt.zn</vt:lpstr>
      <vt:lpstr>mmixt.zn</vt:lpstr>
      <vt:lpstr>'APPLICATION DATA - metric NZ'!ms1.1</vt:lpstr>
      <vt:lpstr>ms1.1</vt:lpstr>
      <vt:lpstr>'APPLICATION DATA - metric NZ'!ms1r.1</vt:lpstr>
      <vt:lpstr>ms1r.1</vt:lpstr>
      <vt:lpstr>'APPLICATION DATA - metric NZ'!ms2.1</vt:lpstr>
      <vt:lpstr>ms2.1</vt:lpstr>
      <vt:lpstr>'APPLICATION DATA - metric NZ'!ms2r.1</vt:lpstr>
      <vt:lpstr>ms2r.1</vt:lpstr>
      <vt:lpstr>'APPLICATION DATA - metric NZ'!ms3.1</vt:lpstr>
      <vt:lpstr>ms3.1</vt:lpstr>
      <vt:lpstr>'APPLICATION DATA - metric NZ'!ms3r.1</vt:lpstr>
      <vt:lpstr>ms3r.1</vt:lpstr>
      <vt:lpstr>'APPLICATION DATA - metric NZ'!ms4.1</vt:lpstr>
      <vt:lpstr>ms4.1</vt:lpstr>
      <vt:lpstr>'APPLICATION DATA - metric NZ'!ms4r.1</vt:lpstr>
      <vt:lpstr>ms4r.1</vt:lpstr>
      <vt:lpstr>'APPLICATION DATA - metric NZ'!mspread1.b</vt:lpstr>
      <vt:lpstr>mspread1.b</vt:lpstr>
      <vt:lpstr>'APPLICATION DATA - metric NZ'!mspread1.ca</vt:lpstr>
      <vt:lpstr>mspread1.ca</vt:lpstr>
      <vt:lpstr>'APPLICATION DATA - metric NZ'!mspread1.co</vt:lpstr>
      <vt:lpstr>mspread1.co</vt:lpstr>
      <vt:lpstr>'APPLICATION DATA - metric NZ'!mspread1.cu</vt:lpstr>
      <vt:lpstr>mspread1.cu</vt:lpstr>
      <vt:lpstr>'APPLICATION DATA - metric NZ'!mspread1.fe</vt:lpstr>
      <vt:lpstr>mspread1.fe</vt:lpstr>
      <vt:lpstr>'APPLICATION DATA - metric NZ'!mspread1.hpo3</vt:lpstr>
      <vt:lpstr>mspread1.hpo3</vt:lpstr>
      <vt:lpstr>'APPLICATION DATA - metric NZ'!mspread1.k</vt:lpstr>
      <vt:lpstr>mspread1.k</vt:lpstr>
      <vt:lpstr>'APPLICATION DATA - metric NZ'!mspread1.mg</vt:lpstr>
      <vt:lpstr>mspread1.mg</vt:lpstr>
      <vt:lpstr>'APPLICATION DATA - metric NZ'!mspread1.mn</vt:lpstr>
      <vt:lpstr>mspread1.mn</vt:lpstr>
      <vt:lpstr>'APPLICATION DATA - metric NZ'!mspread1.mo</vt:lpstr>
      <vt:lpstr>mspread1.mo</vt:lpstr>
      <vt:lpstr>'APPLICATION DATA - metric NZ'!mspread1.n</vt:lpstr>
      <vt:lpstr>mspread1.n</vt:lpstr>
      <vt:lpstr>'APPLICATION DATA - metric NZ'!mspread1.p</vt:lpstr>
      <vt:lpstr>mspread1.p</vt:lpstr>
      <vt:lpstr>'APPLICATION DATA - metric NZ'!mspread1.s</vt:lpstr>
      <vt:lpstr>mspread1.s</vt:lpstr>
      <vt:lpstr>'APPLICATION DATA - metric NZ'!mspread1.si</vt:lpstr>
      <vt:lpstr>mspread1.si</vt:lpstr>
      <vt:lpstr>'APPLICATION DATA - metric NZ'!mspread1.zn</vt:lpstr>
      <vt:lpstr>mspread1.zn</vt:lpstr>
      <vt:lpstr>'APPLICATION DATA - metric NZ'!mspread2.b</vt:lpstr>
      <vt:lpstr>mspread2.b</vt:lpstr>
      <vt:lpstr>'APPLICATION DATA - metric NZ'!mspread2.ca</vt:lpstr>
      <vt:lpstr>mspread2.ca</vt:lpstr>
      <vt:lpstr>'APPLICATION DATA - metric NZ'!mspread2.co</vt:lpstr>
      <vt:lpstr>mspread2.co</vt:lpstr>
      <vt:lpstr>'APPLICATION DATA - metric NZ'!mspread2.cu</vt:lpstr>
      <vt:lpstr>mspread2.cu</vt:lpstr>
      <vt:lpstr>'APPLICATION DATA - metric NZ'!mspread2.fe</vt:lpstr>
      <vt:lpstr>mspread2.fe</vt:lpstr>
      <vt:lpstr>'APPLICATION DATA - metric NZ'!mspread2.hpo3</vt:lpstr>
      <vt:lpstr>mspread2.hpo3</vt:lpstr>
      <vt:lpstr>'APPLICATION DATA - metric NZ'!mspread2.k</vt:lpstr>
      <vt:lpstr>mspread2.k</vt:lpstr>
      <vt:lpstr>'APPLICATION DATA - metric NZ'!mspread2.mg</vt:lpstr>
      <vt:lpstr>mspread2.mg</vt:lpstr>
      <vt:lpstr>'APPLICATION DATA - metric NZ'!mspread2.mn</vt:lpstr>
      <vt:lpstr>mspread2.mn</vt:lpstr>
      <vt:lpstr>'APPLICATION DATA - metric NZ'!mspread2.mo</vt:lpstr>
      <vt:lpstr>mspread2.mo</vt:lpstr>
      <vt:lpstr>'APPLICATION DATA - metric NZ'!mspread2.n</vt:lpstr>
      <vt:lpstr>mspread2.n</vt:lpstr>
      <vt:lpstr>'APPLICATION DATA - metric NZ'!mspread2.p</vt:lpstr>
      <vt:lpstr>mspread2.p</vt:lpstr>
      <vt:lpstr>'APPLICATION DATA - metric NZ'!mspread2.s</vt:lpstr>
      <vt:lpstr>mspread2.s</vt:lpstr>
      <vt:lpstr>'APPLICATION DATA - metric NZ'!mspread2.si</vt:lpstr>
      <vt:lpstr>mspread2.si</vt:lpstr>
      <vt:lpstr>'APPLICATION DATA - metric NZ'!mspread2.zn</vt:lpstr>
      <vt:lpstr>mspread2.zn</vt:lpstr>
      <vt:lpstr>'APPLICATION DATA - metric NZ'!mspread3.b</vt:lpstr>
      <vt:lpstr>mspread3.b</vt:lpstr>
      <vt:lpstr>'APPLICATION DATA - metric NZ'!mspread3.ca</vt:lpstr>
      <vt:lpstr>mspread3.ca</vt:lpstr>
      <vt:lpstr>'APPLICATION DATA - metric NZ'!mspread3.co</vt:lpstr>
      <vt:lpstr>mspread3.co</vt:lpstr>
      <vt:lpstr>'APPLICATION DATA - metric NZ'!mspread3.cu</vt:lpstr>
      <vt:lpstr>mspread3.cu</vt:lpstr>
      <vt:lpstr>'APPLICATION DATA - metric NZ'!mspread3.fe</vt:lpstr>
      <vt:lpstr>mspread3.fe</vt:lpstr>
      <vt:lpstr>'APPLICATION DATA - metric NZ'!mspread3.hpo3</vt:lpstr>
      <vt:lpstr>mspread3.hpo3</vt:lpstr>
      <vt:lpstr>'APPLICATION DATA - metric NZ'!mspread3.k</vt:lpstr>
      <vt:lpstr>mspread3.k</vt:lpstr>
      <vt:lpstr>'APPLICATION DATA - metric NZ'!mspread3.mg</vt:lpstr>
      <vt:lpstr>mspread3.mg</vt:lpstr>
      <vt:lpstr>'APPLICATION DATA - metric NZ'!mspread3.mn</vt:lpstr>
      <vt:lpstr>mspread3.mn</vt:lpstr>
      <vt:lpstr>'APPLICATION DATA - metric NZ'!mspread3.mo</vt:lpstr>
      <vt:lpstr>mspread3.mo</vt:lpstr>
      <vt:lpstr>'APPLICATION DATA - metric NZ'!mspread3.n</vt:lpstr>
      <vt:lpstr>mspread3.n</vt:lpstr>
      <vt:lpstr>'APPLICATION DATA - metric NZ'!mspread3.p</vt:lpstr>
      <vt:lpstr>mspread3.p</vt:lpstr>
      <vt:lpstr>'APPLICATION DATA - metric NZ'!mspread3.s</vt:lpstr>
      <vt:lpstr>mspread3.s</vt:lpstr>
      <vt:lpstr>'APPLICATION DATA - metric NZ'!mspread3.si</vt:lpstr>
      <vt:lpstr>mspread3.si</vt:lpstr>
      <vt:lpstr>'APPLICATION DATA - metric NZ'!mspread3.zn</vt:lpstr>
      <vt:lpstr>mspread3.zn</vt:lpstr>
      <vt:lpstr>'APPLICATION DATA - metric NZ'!mspread4.b</vt:lpstr>
      <vt:lpstr>mspread4.b</vt:lpstr>
      <vt:lpstr>'APPLICATION DATA - metric NZ'!mspread4.ca</vt:lpstr>
      <vt:lpstr>mspread4.ca</vt:lpstr>
      <vt:lpstr>'APPLICATION DATA - metric NZ'!mspread4.co</vt:lpstr>
      <vt:lpstr>mspread4.co</vt:lpstr>
      <vt:lpstr>'APPLICATION DATA - metric NZ'!mspread4.cu</vt:lpstr>
      <vt:lpstr>mspread4.cu</vt:lpstr>
      <vt:lpstr>'APPLICATION DATA - metric NZ'!mspread4.fe</vt:lpstr>
      <vt:lpstr>mspread4.fe</vt:lpstr>
      <vt:lpstr>'APPLICATION DATA - metric NZ'!mspread4.hpo3</vt:lpstr>
      <vt:lpstr>mspread4.hpo3</vt:lpstr>
      <vt:lpstr>'APPLICATION DATA - metric NZ'!mspread4.k</vt:lpstr>
      <vt:lpstr>mspread4.k</vt:lpstr>
      <vt:lpstr>'APPLICATION DATA - metric NZ'!mspread4.mg</vt:lpstr>
      <vt:lpstr>mspread4.mg</vt:lpstr>
      <vt:lpstr>'APPLICATION DATA - metric NZ'!mspread4.mn</vt:lpstr>
      <vt:lpstr>mspread4.mn</vt:lpstr>
      <vt:lpstr>'APPLICATION DATA - metric NZ'!mspread4.mo</vt:lpstr>
      <vt:lpstr>mspread4.mo</vt:lpstr>
      <vt:lpstr>'APPLICATION DATA - metric NZ'!mspread4.n</vt:lpstr>
      <vt:lpstr>mspread4.n</vt:lpstr>
      <vt:lpstr>'APPLICATION DATA - metric NZ'!mspread4.p</vt:lpstr>
      <vt:lpstr>mspread4.p</vt:lpstr>
      <vt:lpstr>'APPLICATION DATA - metric NZ'!mspread4.s</vt:lpstr>
      <vt:lpstr>mspread4.s</vt:lpstr>
      <vt:lpstr>'APPLICATION DATA - metric NZ'!mspread4.si</vt:lpstr>
      <vt:lpstr>mspread4.si</vt:lpstr>
      <vt:lpstr>'APPLICATION DATA - metric NZ'!mspread4.zn</vt:lpstr>
      <vt:lpstr>mspread4.zn</vt:lpstr>
      <vt:lpstr>'APPLICATION DATA - metric NZ'!mspreader.area</vt:lpstr>
      <vt:lpstr>mspreader.area</vt:lpstr>
      <vt:lpstr>'APPLICATION DATA - metric NZ'!mspreader1.count</vt:lpstr>
      <vt:lpstr>mspreader1.count</vt:lpstr>
      <vt:lpstr>'APPLICATION DATA - metric NZ'!mspreader2.count</vt:lpstr>
      <vt:lpstr>mspreader2.count</vt:lpstr>
      <vt:lpstr>'APPLICATION DATA - metric NZ'!mspreader3.count</vt:lpstr>
      <vt:lpstr>mspreader3.count</vt:lpstr>
      <vt:lpstr>'APPLICATION DATA - metric NZ'!mspreader4.count</vt:lpstr>
      <vt:lpstr>mspreader4.count</vt:lpstr>
      <vt:lpstr>'APPLICATION DATA - metric NZ'!mspreadt.b</vt:lpstr>
      <vt:lpstr>mspreadt.b</vt:lpstr>
      <vt:lpstr>'APPLICATION DATA - metric NZ'!mspreadt.ca</vt:lpstr>
      <vt:lpstr>mspreadt.ca</vt:lpstr>
      <vt:lpstr>'APPLICATION DATA - metric NZ'!mspreadt.co</vt:lpstr>
      <vt:lpstr>mspreadt.co</vt:lpstr>
      <vt:lpstr>mspreadt.count</vt:lpstr>
      <vt:lpstr>'APPLICATION DATA - metric NZ'!mspreadt.cu</vt:lpstr>
      <vt:lpstr>mspreadt.cu</vt:lpstr>
      <vt:lpstr>'APPLICATION DATA - metric NZ'!mspreadt.fe</vt:lpstr>
      <vt:lpstr>mspreadt.fe</vt:lpstr>
      <vt:lpstr>'APPLICATION DATA - metric NZ'!mspreadt.hpo3</vt:lpstr>
      <vt:lpstr>mspreadt.hpo3</vt:lpstr>
      <vt:lpstr>'APPLICATION DATA - metric NZ'!mspreadt.k</vt:lpstr>
      <vt:lpstr>mspreadt.k</vt:lpstr>
      <vt:lpstr>'APPLICATION DATA - metric NZ'!mspreadt.mg</vt:lpstr>
      <vt:lpstr>mspreadt.mg</vt:lpstr>
      <vt:lpstr>'APPLICATION DATA - metric NZ'!mspreadt.mn</vt:lpstr>
      <vt:lpstr>mspreadt.mn</vt:lpstr>
      <vt:lpstr>'APPLICATION DATA - metric NZ'!mspreadt.mo</vt:lpstr>
      <vt:lpstr>mspreadt.mo</vt:lpstr>
      <vt:lpstr>'APPLICATION DATA - metric NZ'!mspreadt.n</vt:lpstr>
      <vt:lpstr>mspreadt.n</vt:lpstr>
      <vt:lpstr>'APPLICATION DATA - metric NZ'!mspreadt.p</vt:lpstr>
      <vt:lpstr>mspreadt.p</vt:lpstr>
      <vt:lpstr>'APPLICATION DATA - metric NZ'!mspreadt.s</vt:lpstr>
      <vt:lpstr>mspreadt.s</vt:lpstr>
      <vt:lpstr>'APPLICATION DATA - metric NZ'!mspreadt.si</vt:lpstr>
      <vt:lpstr>mspreadt.si</vt:lpstr>
      <vt:lpstr>'APPLICATION DATA - metric NZ'!mspreadt.zn</vt:lpstr>
      <vt:lpstr>mspreadt.zn</vt:lpstr>
      <vt:lpstr>'APPLICATION DATA - metric NZ'!mtank.area</vt:lpstr>
      <vt:lpstr>mtank.area</vt:lpstr>
      <vt:lpstr>mzmix1.count</vt:lpstr>
      <vt:lpstr>mzmix2.count</vt:lpstr>
      <vt:lpstr>mzmix3.count</vt:lpstr>
      <vt:lpstr>mzmix4.count</vt:lpstr>
      <vt:lpstr>mzspreader.area</vt:lpstr>
      <vt:lpstr>mzspreader1.count</vt:lpstr>
      <vt:lpstr>mzspreader2.count</vt:lpstr>
      <vt:lpstr>mzspreader3.count</vt:lpstr>
      <vt:lpstr>mzspreader4.count</vt:lpstr>
      <vt:lpstr>mztank.area</vt:lpstr>
      <vt:lpstr>N.215</vt:lpstr>
      <vt:lpstr>P.215</vt:lpstr>
      <vt:lpstr>'APPLICATION DATA - metric'!Print_Area</vt:lpstr>
      <vt:lpstr>'APPLICATION DATA - metric NZ'!Print_Area</vt:lpstr>
      <vt:lpstr>'APPLICATION DATA - standard'!Print_Area</vt:lpstr>
      <vt:lpstr>'G U I D E'!Print_Area</vt:lpstr>
      <vt:lpstr>'PRODUCT DATA'!Print_Area</vt:lpstr>
      <vt:lpstr>'PROGRAM ANALYSIS - standard'!Print_Area</vt:lpstr>
      <vt:lpstr>'PROGRAMME ANALYSIS - metric'!Print_Area</vt:lpstr>
      <vt:lpstr>prog.descrip</vt:lpstr>
      <vt:lpstr>Prog.Grand.Total</vt:lpstr>
      <vt:lpstr>'APPLICATION DATA - metric NZ'!proge.descrip</vt:lpstr>
      <vt:lpstr>proge.descrip</vt:lpstr>
      <vt:lpstr>Proge.Grand.Total</vt:lpstr>
      <vt:lpstr>'APPLICATION DATA - metric NZ'!ProgeTitle</vt:lpstr>
      <vt:lpstr>ProgeTitle</vt:lpstr>
      <vt:lpstr>progez.descrip</vt:lpstr>
      <vt:lpstr>ProgezTitle</vt:lpstr>
      <vt:lpstr>ProgTitle</vt:lpstr>
      <vt:lpstr>ProvenFoliar_List</vt:lpstr>
      <vt:lpstr>'APPLICATION DATA - metric'!ProvenFoliar_List2</vt:lpstr>
      <vt:lpstr>'APPLICATION DATA - metric NZ'!ProvenFoliar_List2</vt:lpstr>
      <vt:lpstr>ProvenFoliar_List2</vt:lpstr>
      <vt:lpstr>s1.1</vt:lpstr>
      <vt:lpstr>s1r.1</vt:lpstr>
      <vt:lpstr>s2.1</vt:lpstr>
      <vt:lpstr>s2r.1</vt:lpstr>
      <vt:lpstr>s3.1</vt:lpstr>
      <vt:lpstr>s3r.1</vt:lpstr>
      <vt:lpstr>s4.1</vt:lpstr>
      <vt:lpstr>s4r.1</vt:lpstr>
      <vt:lpstr>special.x1</vt:lpstr>
      <vt:lpstr>spread1.b</vt:lpstr>
      <vt:lpstr>spread1.ca</vt:lpstr>
      <vt:lpstr>spread1.co</vt:lpstr>
      <vt:lpstr>spread1.cu</vt:lpstr>
      <vt:lpstr>spread1.fe</vt:lpstr>
      <vt:lpstr>spread1.hpo3</vt:lpstr>
      <vt:lpstr>spread1.k</vt:lpstr>
      <vt:lpstr>spread1.mg</vt:lpstr>
      <vt:lpstr>spread1.mn</vt:lpstr>
      <vt:lpstr>spread1.mo</vt:lpstr>
      <vt:lpstr>spread1.n</vt:lpstr>
      <vt:lpstr>spread1.p</vt:lpstr>
      <vt:lpstr>spread1.s</vt:lpstr>
      <vt:lpstr>spread1.si</vt:lpstr>
      <vt:lpstr>spread1.zn</vt:lpstr>
      <vt:lpstr>spread2.b</vt:lpstr>
      <vt:lpstr>spread2.ca</vt:lpstr>
      <vt:lpstr>spread2.co</vt:lpstr>
      <vt:lpstr>spread2.cu</vt:lpstr>
      <vt:lpstr>spread2.fe</vt:lpstr>
      <vt:lpstr>spread2.hpo3</vt:lpstr>
      <vt:lpstr>spread2.k</vt:lpstr>
      <vt:lpstr>spread2.mg</vt:lpstr>
      <vt:lpstr>spread2.mn</vt:lpstr>
      <vt:lpstr>spread2.mo</vt:lpstr>
      <vt:lpstr>spread2.n</vt:lpstr>
      <vt:lpstr>spread2.p</vt:lpstr>
      <vt:lpstr>spread2.s</vt:lpstr>
      <vt:lpstr>spread2.si</vt:lpstr>
      <vt:lpstr>spread2.zn</vt:lpstr>
      <vt:lpstr>spread3.b</vt:lpstr>
      <vt:lpstr>spread3.ca</vt:lpstr>
      <vt:lpstr>spread3.co</vt:lpstr>
      <vt:lpstr>spread3.cu</vt:lpstr>
      <vt:lpstr>spread3.fe</vt:lpstr>
      <vt:lpstr>spread3.hpo3</vt:lpstr>
      <vt:lpstr>spread3.k</vt:lpstr>
      <vt:lpstr>spread3.mg</vt:lpstr>
      <vt:lpstr>spread3.mn</vt:lpstr>
      <vt:lpstr>spread3.mo</vt:lpstr>
      <vt:lpstr>spread3.n</vt:lpstr>
      <vt:lpstr>spread3.p</vt:lpstr>
      <vt:lpstr>spread3.s</vt:lpstr>
      <vt:lpstr>spread3.si</vt:lpstr>
      <vt:lpstr>spread3.zn</vt:lpstr>
      <vt:lpstr>spread4.b</vt:lpstr>
      <vt:lpstr>spread4.ca</vt:lpstr>
      <vt:lpstr>spread4.co</vt:lpstr>
      <vt:lpstr>spread4.cu</vt:lpstr>
      <vt:lpstr>spread4.fe</vt:lpstr>
      <vt:lpstr>spread4.hpo3</vt:lpstr>
      <vt:lpstr>spread4.k</vt:lpstr>
      <vt:lpstr>spread4.mg</vt:lpstr>
      <vt:lpstr>spread4.mn</vt:lpstr>
      <vt:lpstr>spread4.mo</vt:lpstr>
      <vt:lpstr>spread4.n</vt:lpstr>
      <vt:lpstr>spread4.p</vt:lpstr>
      <vt:lpstr>spread4.s</vt:lpstr>
      <vt:lpstr>spread4.si</vt:lpstr>
      <vt:lpstr>spread4.zn</vt:lpstr>
      <vt:lpstr>spreader.area</vt:lpstr>
      <vt:lpstr>spreader1.count</vt:lpstr>
      <vt:lpstr>spreader2.count</vt:lpstr>
      <vt:lpstr>spreader3.count</vt:lpstr>
      <vt:lpstr>spreader4.count</vt:lpstr>
      <vt:lpstr>spreadt.b</vt:lpstr>
      <vt:lpstr>spreadt.ca</vt:lpstr>
      <vt:lpstr>spreadt.co</vt:lpstr>
      <vt:lpstr>spreadt.count</vt:lpstr>
      <vt:lpstr>spreadt.cu</vt:lpstr>
      <vt:lpstr>spreadt.fe</vt:lpstr>
      <vt:lpstr>spreadt.hpo3</vt:lpstr>
      <vt:lpstr>spreadt.k</vt:lpstr>
      <vt:lpstr>spreadt.mg</vt:lpstr>
      <vt:lpstr>spreadt.mn</vt:lpstr>
      <vt:lpstr>spreadt.mo</vt:lpstr>
      <vt:lpstr>spreadt.n</vt:lpstr>
      <vt:lpstr>spreadt.p</vt:lpstr>
      <vt:lpstr>spreadt.s</vt:lpstr>
      <vt:lpstr>spreadt.si</vt:lpstr>
      <vt:lpstr>spreadt.zn</vt:lpstr>
      <vt:lpstr>sq.ft.a</vt:lpstr>
      <vt:lpstr>sq.ft.b</vt:lpstr>
      <vt:lpstr>'APPLICATION DATA - metric NZ'!sq.m.a</vt:lpstr>
      <vt:lpstr>sq.m.a</vt:lpstr>
      <vt:lpstr>'APPLICATION DATA - metric NZ'!sq.m.b</vt:lpstr>
      <vt:lpstr>sq.m.b</vt:lpstr>
      <vt:lpstr>sq.mz.a</vt:lpstr>
      <vt:lpstr>sq.mz.b</vt:lpstr>
      <vt:lpstr>start.date</vt:lpstr>
      <vt:lpstr>'APPLICATION DATA - metric NZ'!start.date2</vt:lpstr>
      <vt:lpstr>start.date2</vt:lpstr>
      <vt:lpstr>start.date3</vt:lpstr>
      <vt:lpstr>tank.area</vt:lpstr>
      <vt:lpstr>target.b</vt:lpstr>
      <vt:lpstr>'APPLICATION DATA - metric NZ'!target.b2</vt:lpstr>
      <vt:lpstr>target.b2</vt:lpstr>
      <vt:lpstr>target.ca</vt:lpstr>
      <vt:lpstr>'APPLICATION DATA - metric NZ'!target.ca2</vt:lpstr>
      <vt:lpstr>target.ca2</vt:lpstr>
      <vt:lpstr>target.co</vt:lpstr>
      <vt:lpstr>'APPLICATION DATA - metric NZ'!target.co2</vt:lpstr>
      <vt:lpstr>target.co2</vt:lpstr>
      <vt:lpstr>target.cu</vt:lpstr>
      <vt:lpstr>'APPLICATION DATA - metric NZ'!target.cu2</vt:lpstr>
      <vt:lpstr>target.cu2</vt:lpstr>
      <vt:lpstr>target.fe</vt:lpstr>
      <vt:lpstr>target.fe.mn</vt:lpstr>
      <vt:lpstr>'APPLICATION DATA - metric NZ'!target.fe2</vt:lpstr>
      <vt:lpstr>target.fe2</vt:lpstr>
      <vt:lpstr>target.hp30</vt:lpstr>
      <vt:lpstr>target.hpo3</vt:lpstr>
      <vt:lpstr>'APPLICATION DATA - metric NZ'!target.hpo32</vt:lpstr>
      <vt:lpstr>target.hpo32</vt:lpstr>
      <vt:lpstr>target.k</vt:lpstr>
      <vt:lpstr>'APPLICATION DATA - metric NZ'!target.k2</vt:lpstr>
      <vt:lpstr>target.k2</vt:lpstr>
      <vt:lpstr>target.mg</vt:lpstr>
      <vt:lpstr>'APPLICATION DATA - metric NZ'!target.mg2</vt:lpstr>
      <vt:lpstr>target.mg2</vt:lpstr>
      <vt:lpstr>target.mn</vt:lpstr>
      <vt:lpstr>'APPLICATION DATA - metric NZ'!target.mn2</vt:lpstr>
      <vt:lpstr>target.mn2</vt:lpstr>
      <vt:lpstr>target.mo</vt:lpstr>
      <vt:lpstr>'APPLICATION DATA - metric NZ'!target.mo2</vt:lpstr>
      <vt:lpstr>target.mo2</vt:lpstr>
      <vt:lpstr>target.n</vt:lpstr>
      <vt:lpstr>'APPLICATION DATA - metric NZ'!target.n2</vt:lpstr>
      <vt:lpstr>target.n2</vt:lpstr>
      <vt:lpstr>target.p</vt:lpstr>
      <vt:lpstr>target.p.hpo3</vt:lpstr>
      <vt:lpstr>'APPLICATION DATA - metric NZ'!target.p2</vt:lpstr>
      <vt:lpstr>target.p2</vt:lpstr>
      <vt:lpstr>target.s</vt:lpstr>
      <vt:lpstr>'APPLICATION DATA - metric NZ'!target.s2</vt:lpstr>
      <vt:lpstr>target.s2</vt:lpstr>
      <vt:lpstr>target.si</vt:lpstr>
      <vt:lpstr>'APPLICATION DATA - metric NZ'!target.si2</vt:lpstr>
      <vt:lpstr>target.si2</vt:lpstr>
      <vt:lpstr>target.x1</vt:lpstr>
      <vt:lpstr>'APPLICATION DATA - metric NZ'!target.x12</vt:lpstr>
      <vt:lpstr>target.x12</vt:lpstr>
      <vt:lpstr>target.zn</vt:lpstr>
      <vt:lpstr>'APPLICATION DATA - metric NZ'!target.zn2</vt:lpstr>
      <vt:lpstr>target.zn2</vt:lpstr>
      <vt:lpstr>targetca</vt:lpstr>
      <vt:lpstr>total.acres</vt:lpstr>
      <vt:lpstr>total.hectares</vt:lpstr>
      <vt:lpstr>total.sqft</vt:lpstr>
      <vt:lpstr>total.sqm</vt:lpstr>
      <vt:lpstr>VERSION</vt:lpstr>
    </vt:vector>
  </TitlesOfParts>
  <Company>Grigg Brothers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Workbook</dc:title>
  <dc:creator>Tyler Warner</dc:creator>
  <dc:description>Contact Jared at 208-227-7044 if you find any errors or have any comments.</dc:description>
  <cp:lastModifiedBy>wood</cp:lastModifiedBy>
  <cp:lastPrinted>2017-02-28T16:23:23Z</cp:lastPrinted>
  <dcterms:created xsi:type="dcterms:W3CDTF">2009-04-15T22:14:47Z</dcterms:created>
  <dcterms:modified xsi:type="dcterms:W3CDTF">2017-09-01T17:18:00Z</dcterms:modified>
</cp:coreProperties>
</file>